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aveExternalLinkValues="0" codeName="ThisWorkbook"/>
  <mc:AlternateContent xmlns:mc="http://schemas.openxmlformats.org/markup-compatibility/2006">
    <mc:Choice Requires="x15">
      <x15ac:absPath xmlns:x15ac="http://schemas.microsoft.com/office/spreadsheetml/2010/11/ac" url="C:\Users\Svjetlana\Desktop\"/>
    </mc:Choice>
  </mc:AlternateContent>
  <xr:revisionPtr revIDLastSave="0" documentId="13_ncr:1_{C8CDE35D-A310-46BD-97CD-F53DADD5AB20}" xr6:coauthVersionLast="40" xr6:coauthVersionMax="40" xr10:uidLastSave="{00000000-0000-0000-0000-000000000000}"/>
  <bookViews>
    <workbookView xWindow="0" yWindow="0" windowWidth="28800" windowHeight="12225" firstSheet="1" activeTab="10" xr2:uid="{00000000-000D-0000-FFFF-FFFF00000000}"/>
  </bookViews>
  <sheets>
    <sheet name="Skriveni" sheetId="37" state="hidden" r:id="rId1"/>
    <sheet name="Upute" sheetId="19" r:id="rId2"/>
    <sheet name="RefStr" sheetId="42" r:id="rId3"/>
    <sheet name="PRRAS" sheetId="1" r:id="rId4"/>
    <sheet name="Bil" sheetId="27" r:id="rId5"/>
    <sheet name="List1" sheetId="47" r:id="rId6"/>
    <sheet name="List2" sheetId="48" r:id="rId7"/>
    <sheet name="List3" sheetId="49" r:id="rId8"/>
    <sheet name="RasF" sheetId="36" r:id="rId9"/>
    <sheet name="PVRIO" sheetId="33" r:id="rId10"/>
    <sheet name="Obv" sheetId="30" r:id="rId11"/>
    <sheet name="Kont" sheetId="3" r:id="rId12"/>
    <sheet name="Sifre" sheetId="43" r:id="rId13"/>
    <sheet name="Prom" sheetId="46" r:id="rId14"/>
  </sheets>
  <definedNames>
    <definedName name="_xlnm.Print_Titles" localSheetId="4">Bil!$10:$10</definedName>
    <definedName name="_xlnm.Print_Titles" localSheetId="10">Obv!$2:$11</definedName>
    <definedName name="_xlnm.Print_Titles" localSheetId="3">PRRAS!$4:$5</definedName>
    <definedName name="_xlnm.Print_Titles" localSheetId="9">PVRIO!$10:$10</definedName>
    <definedName name="_xlnm.Print_Titles" localSheetId="8">RasF!$10:$11</definedName>
    <definedName name="_xlnm.Print_Titles" localSheetId="12">Sifre!$14:$14</definedName>
    <definedName name="_xlnm.Print_Area" localSheetId="4">Bil!$A$2:$F$327</definedName>
    <definedName name="_xlnm.Print_Area" localSheetId="10">Obv!$A$2:$D$111</definedName>
    <definedName name="_xlnm.Print_Area" localSheetId="13">Prom!$A$3:$C$23</definedName>
    <definedName name="_xlnm.Print_Area" localSheetId="3">PRRAS!$A$2:$F$997</definedName>
    <definedName name="_xlnm.Print_Area" localSheetId="9">PVRIO!$A$2:$F$61</definedName>
    <definedName name="_xlnm.Print_Area" localSheetId="8">RasF!$A$2:$F$153</definedName>
    <definedName name="_xlnm.Print_Area" localSheetId="2">RefStr!$A$2:$K$63</definedName>
    <definedName name="_xlnm.Print_Area" localSheetId="12">Sifre!$A$14:$H$200</definedName>
    <definedName name="_xlnm.Print_Area" localSheetId="1">Upute!$B$2:$B$24</definedName>
    <definedName name="Z_20966C26_2FB0_458A_A419_418535DD5D43_.wvu.Cols" localSheetId="10" hidden="1">Obv!#REF!</definedName>
    <definedName name="Z_20966C26_2FB0_458A_A419_418535DD5D43_.wvu.Cols" localSheetId="1" hidden="1">Upute!$C:$IV</definedName>
    <definedName name="Z_20966C26_2FB0_458A_A419_418535DD5D43_.wvu.PrintArea" localSheetId="10" hidden="1">Obv!$A$3:$D$105</definedName>
    <definedName name="Z_20966C26_2FB0_458A_A419_418535DD5D43_.wvu.PrintTitles" localSheetId="10" hidden="1">Obv!$10:$10</definedName>
    <definedName name="Z_20966C26_2FB0_458A_A419_418535DD5D43_.wvu.Rows" localSheetId="10"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G6" i="37" s="1"/>
  <c r="C6" i="37"/>
  <c r="D6" i="37"/>
  <c r="B7" i="37"/>
  <c r="C7" i="37"/>
  <c r="D7" i="37"/>
  <c r="B8" i="37"/>
  <c r="C8" i="37"/>
  <c r="D8" i="37"/>
  <c r="B9" i="37"/>
  <c r="G9" i="37" s="1"/>
  <c r="C9" i="37"/>
  <c r="D9" i="37"/>
  <c r="B10" i="37"/>
  <c r="G10" i="37" s="1"/>
  <c r="C10" i="37"/>
  <c r="D10" i="37"/>
  <c r="B11" i="37"/>
  <c r="C11" i="37"/>
  <c r="D11" i="37"/>
  <c r="B12" i="37"/>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D65" i="37"/>
  <c r="H65" i="37" s="1"/>
  <c r="B66" i="37"/>
  <c r="C66" i="37"/>
  <c r="G66" i="37" s="1"/>
  <c r="D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G117" i="37" s="1"/>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s="1"/>
  <c r="B159" i="37"/>
  <c r="C159" i="37"/>
  <c r="D159" i="37"/>
  <c r="B160" i="37"/>
  <c r="C160" i="37"/>
  <c r="D160" i="37"/>
  <c r="G160" i="37"/>
  <c r="B161" i="37"/>
  <c r="B162" i="37"/>
  <c r="B163" i="37"/>
  <c r="C163" i="37"/>
  <c r="D163" i="37"/>
  <c r="B164" i="37"/>
  <c r="C164" i="37"/>
  <c r="D164" i="37"/>
  <c r="B165" i="37"/>
  <c r="C165" i="37"/>
  <c r="G165" i="37" s="1"/>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G192" i="37" s="1"/>
  <c r="C192" i="37"/>
  <c r="D192" i="37"/>
  <c r="B193" i="37"/>
  <c r="C193" i="37"/>
  <c r="D193" i="37"/>
  <c r="B194" i="37"/>
  <c r="B195" i="37"/>
  <c r="B196" i="37"/>
  <c r="G196" i="37" s="1"/>
  <c r="C196" i="37"/>
  <c r="D196" i="37"/>
  <c r="B197" i="37"/>
  <c r="G197" i="37" s="1"/>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G396" i="37" s="1"/>
  <c r="C396" i="37"/>
  <c r="D396" i="37"/>
  <c r="B397" i="37"/>
  <c r="G397" i="37" s="1"/>
  <c r="C397" i="37"/>
  <c r="D397" i="37"/>
  <c r="B398" i="37"/>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G417" i="37" s="1"/>
  <c r="C417" i="37"/>
  <c r="D417" i="37"/>
  <c r="B418" i="37"/>
  <c r="B419" i="37"/>
  <c r="C419" i="37"/>
  <c r="D419" i="37"/>
  <c r="B420" i="37"/>
  <c r="C420" i="37"/>
  <c r="D420" i="37"/>
  <c r="G420" i="37" s="1"/>
  <c r="B421" i="37"/>
  <c r="B422" i="37"/>
  <c r="C422" i="37"/>
  <c r="D422" i="37"/>
  <c r="B423" i="37"/>
  <c r="C423" i="37"/>
  <c r="D423" i="37"/>
  <c r="B424" i="37"/>
  <c r="G424" i="37" s="1"/>
  <c r="C424" i="37"/>
  <c r="D424" i="37"/>
  <c r="B425" i="37"/>
  <c r="G425" i="37" s="1"/>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C435" i="37"/>
  <c r="D435" i="37"/>
  <c r="B436" i="37"/>
  <c r="C436" i="37"/>
  <c r="D436" i="37"/>
  <c r="B437" i="37"/>
  <c r="G437" i="37" s="1"/>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G462" i="37" s="1"/>
  <c r="C462" i="37"/>
  <c r="D462" i="37"/>
  <c r="B463" i="37"/>
  <c r="B464" i="37"/>
  <c r="B465" i="37"/>
  <c r="C465" i="37"/>
  <c r="D465" i="37"/>
  <c r="G465" i="37" s="1"/>
  <c r="B466" i="37"/>
  <c r="C466" i="37"/>
  <c r="D466" i="37"/>
  <c r="B467" i="37"/>
  <c r="C467" i="37"/>
  <c r="D467" i="37"/>
  <c r="B468" i="37"/>
  <c r="C468" i="37"/>
  <c r="D468" i="37"/>
  <c r="G468" i="37" s="1"/>
  <c r="B469" i="37"/>
  <c r="B470" i="37"/>
  <c r="C470" i="37"/>
  <c r="G470" i="37" s="1"/>
  <c r="D470" i="37"/>
  <c r="B471" i="37"/>
  <c r="C471" i="37"/>
  <c r="G471" i="37" s="1"/>
  <c r="D471" i="37"/>
  <c r="B472" i="37"/>
  <c r="B473" i="37"/>
  <c r="C473" i="37"/>
  <c r="D473" i="37"/>
  <c r="B474" i="37"/>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G488" i="37" s="1"/>
  <c r="C488" i="37"/>
  <c r="D488" i="37"/>
  <c r="B489" i="37"/>
  <c r="C489" i="37"/>
  <c r="D489" i="37"/>
  <c r="B490" i="37"/>
  <c r="C490" i="37"/>
  <c r="D490" i="37"/>
  <c r="B491" i="37"/>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G499" i="37" s="1"/>
  <c r="B500" i="37"/>
  <c r="C500" i="37"/>
  <c r="D500" i="37"/>
  <c r="B501" i="37"/>
  <c r="C501" i="37"/>
  <c r="D501" i="37"/>
  <c r="B502" i="37"/>
  <c r="C502" i="37"/>
  <c r="D502" i="37"/>
  <c r="G502" i="37" s="1"/>
  <c r="B503" i="37"/>
  <c r="C503" i="37"/>
  <c r="D503" i="37"/>
  <c r="G503" i="37" s="1"/>
  <c r="B504" i="37"/>
  <c r="C504" i="37"/>
  <c r="D504" i="37"/>
  <c r="B505" i="37"/>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G515" i="37" s="1"/>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G525" i="37" s="1"/>
  <c r="B526" i="37"/>
  <c r="B527" i="37"/>
  <c r="C527" i="37"/>
  <c r="D527" i="37"/>
  <c r="G527" i="37"/>
  <c r="B528" i="37"/>
  <c r="C528" i="37"/>
  <c r="D528" i="37"/>
  <c r="G528" i="37"/>
  <c r="B529" i="37"/>
  <c r="B530" i="37"/>
  <c r="C530" i="37"/>
  <c r="G530" i="37" s="1"/>
  <c r="D530" i="37"/>
  <c r="B531" i="37"/>
  <c r="C531" i="37"/>
  <c r="G531" i="37" s="1"/>
  <c r="D531" i="37"/>
  <c r="B532" i="37"/>
  <c r="C532" i="37"/>
  <c r="G532" i="37" s="1"/>
  <c r="D532" i="37"/>
  <c r="B533" i="37"/>
  <c r="C533" i="37"/>
  <c r="G533" i="37" s="1"/>
  <c r="D533" i="37"/>
  <c r="B534" i="37"/>
  <c r="B535" i="37"/>
  <c r="C535" i="37"/>
  <c r="D535" i="37"/>
  <c r="B536" i="37"/>
  <c r="C536" i="37"/>
  <c r="D536" i="37"/>
  <c r="B537" i="37"/>
  <c r="C537" i="37"/>
  <c r="D537" i="37"/>
  <c r="B538" i="37"/>
  <c r="G538" i="37" s="1"/>
  <c r="C538" i="37"/>
  <c r="D538" i="37"/>
  <c r="B539" i="37"/>
  <c r="C539" i="37"/>
  <c r="D539" i="37"/>
  <c r="B540" i="37"/>
  <c r="C540" i="37"/>
  <c r="D540" i="37"/>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G564" i="37" s="1"/>
  <c r="C564" i="37"/>
  <c r="D564" i="37"/>
  <c r="B565" i="37"/>
  <c r="B566" i="37"/>
  <c r="C566" i="37"/>
  <c r="D566" i="37"/>
  <c r="G566" i="37"/>
  <c r="B567" i="37"/>
  <c r="C567" i="37"/>
  <c r="D567" i="37"/>
  <c r="G567" i="37"/>
  <c r="B568" i="37"/>
  <c r="B569" i="37"/>
  <c r="C569" i="37"/>
  <c r="D569" i="37"/>
  <c r="G569" i="37" s="1"/>
  <c r="B570" i="37"/>
  <c r="C570" i="37"/>
  <c r="D570" i="37"/>
  <c r="G570" i="37" s="1"/>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D582" i="37"/>
  <c r="B583" i="37"/>
  <c r="C583" i="37"/>
  <c r="D583" i="37"/>
  <c r="G583" i="37" s="1"/>
  <c r="B584" i="37"/>
  <c r="B585" i="37"/>
  <c r="B586" i="37"/>
  <c r="C586" i="37"/>
  <c r="G586" i="37" s="1"/>
  <c r="D586" i="37"/>
  <c r="B587" i="37"/>
  <c r="C587" i="37"/>
  <c r="G587" i="37" s="1"/>
  <c r="D587" i="37"/>
  <c r="B588" i="37"/>
  <c r="C588" i="37"/>
  <c r="G588" i="37" s="1"/>
  <c r="D588" i="37"/>
  <c r="B589" i="37"/>
  <c r="C589" i="37"/>
  <c r="G589" i="37" s="1"/>
  <c r="D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s="1"/>
  <c r="B605" i="37"/>
  <c r="C605" i="37"/>
  <c r="D605" i="37"/>
  <c r="G605" i="37" s="1"/>
  <c r="B606" i="37"/>
  <c r="C606" i="37"/>
  <c r="D606" i="37"/>
  <c r="G606" i="37" s="1"/>
  <c r="B607" i="37"/>
  <c r="C607" i="37"/>
  <c r="D607" i="37"/>
  <c r="G607" i="37" s="1"/>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C618" i="37"/>
  <c r="D618" i="37"/>
  <c r="G618" i="37"/>
  <c r="B619" i="37"/>
  <c r="C619" i="37"/>
  <c r="D619" i="37"/>
  <c r="G619" i="37"/>
  <c r="B620" i="37"/>
  <c r="B621" i="37"/>
  <c r="C621" i="37"/>
  <c r="D621" i="37"/>
  <c r="G621" i="37" s="1"/>
  <c r="B622" i="37"/>
  <c r="C622" i="37"/>
  <c r="D622" i="37"/>
  <c r="G622" i="37" s="1"/>
  <c r="B623" i="37"/>
  <c r="B624" i="37"/>
  <c r="C624" i="37"/>
  <c r="G624" i="37" s="1"/>
  <c r="D624" i="37"/>
  <c r="B625" i="37"/>
  <c r="C625" i="37"/>
  <c r="G625" i="37" s="1"/>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s="1"/>
  <c r="B640" i="37"/>
  <c r="C640" i="37"/>
  <c r="D640" i="37"/>
  <c r="G640" i="37"/>
  <c r="B641" i="37"/>
  <c r="C641" i="37"/>
  <c r="D641" i="37"/>
  <c r="G641" i="37"/>
  <c r="B642" i="37"/>
  <c r="B643" i="37"/>
  <c r="C643" i="37"/>
  <c r="D643" i="37"/>
  <c r="G643" i="37" s="1"/>
  <c r="B644" i="37"/>
  <c r="C644" i="37"/>
  <c r="D644" i="37"/>
  <c r="G644" i="37" s="1"/>
  <c r="B645" i="37"/>
  <c r="C645" i="37"/>
  <c r="D645" i="37"/>
  <c r="G645" i="37" s="1"/>
  <c r="B646" i="37"/>
  <c r="C646" i="37"/>
  <c r="D646" i="37"/>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G665" i="37" s="1"/>
  <c r="B666" i="37"/>
  <c r="C666" i="37"/>
  <c r="D666" i="37"/>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s="1"/>
  <c r="B685" i="37"/>
  <c r="C685" i="37"/>
  <c r="D685" i="37"/>
  <c r="G685" i="37" s="1"/>
  <c r="B686" i="37"/>
  <c r="C686" i="37"/>
  <c r="D686" i="37"/>
  <c r="G686" i="37" s="1"/>
  <c r="B687" i="37"/>
  <c r="C687" i="37"/>
  <c r="D687" i="37"/>
  <c r="G687" i="37" s="1"/>
  <c r="B688" i="37"/>
  <c r="C688" i="37"/>
  <c r="D688" i="37"/>
  <c r="G688" i="37" s="1"/>
  <c r="B689" i="37"/>
  <c r="C689" i="37"/>
  <c r="D689" i="37"/>
  <c r="G689" i="37" s="1"/>
  <c r="B690" i="37"/>
  <c r="C690" i="37"/>
  <c r="D690" i="37"/>
  <c r="B691" i="37"/>
  <c r="C691" i="37"/>
  <c r="D691" i="37"/>
  <c r="G691" i="37" s="1"/>
  <c r="B692" i="37"/>
  <c r="C692" i="37"/>
  <c r="D692" i="37"/>
  <c r="G692" i="37" s="1"/>
  <c r="B693" i="37"/>
  <c r="C693" i="37"/>
  <c r="D693" i="37"/>
  <c r="G693" i="37" s="1"/>
  <c r="B694" i="37"/>
  <c r="C694" i="37"/>
  <c r="D694" i="37"/>
  <c r="B695" i="37"/>
  <c r="C695" i="37"/>
  <c r="D695" i="37"/>
  <c r="B696" i="37"/>
  <c r="C696" i="37"/>
  <c r="D696" i="37"/>
  <c r="G696" i="37" s="1"/>
  <c r="B697" i="37"/>
  <c r="C697" i="37"/>
  <c r="D697" i="37"/>
  <c r="G697" i="37" s="1"/>
  <c r="B698" i="37"/>
  <c r="C698" i="37"/>
  <c r="D698" i="37"/>
  <c r="G698" i="37" s="1"/>
  <c r="B699" i="37"/>
  <c r="C699" i="37"/>
  <c r="D699" i="37"/>
  <c r="G699" i="37" s="1"/>
  <c r="B700" i="37"/>
  <c r="C700" i="37"/>
  <c r="D700" i="37"/>
  <c r="G700" i="37" s="1"/>
  <c r="B701" i="37"/>
  <c r="C701" i="37"/>
  <c r="D701" i="37"/>
  <c r="G701" i="37" s="1"/>
  <c r="B702" i="37"/>
  <c r="C702" i="37"/>
  <c r="D702" i="37"/>
  <c r="G702" i="37" s="1"/>
  <c r="B703" i="37"/>
  <c r="C703" i="37"/>
  <c r="D703" i="37"/>
  <c r="G703" i="37" s="1"/>
  <c r="B704" i="37"/>
  <c r="C704" i="37"/>
  <c r="D704" i="37"/>
  <c r="G704" i="37" s="1"/>
  <c r="B705" i="37"/>
  <c r="C705" i="37"/>
  <c r="D705" i="37"/>
  <c r="G705" i="37" s="1"/>
  <c r="B706" i="37"/>
  <c r="C706" i="37"/>
  <c r="D706" i="37"/>
  <c r="G706" i="37" s="1"/>
  <c r="B707" i="37"/>
  <c r="C707" i="37"/>
  <c r="D707" i="37"/>
  <c r="G707" i="37" s="1"/>
  <c r="B708" i="37"/>
  <c r="C708" i="37"/>
  <c r="D708" i="37"/>
  <c r="G708" i="37" s="1"/>
  <c r="B709" i="37"/>
  <c r="C709" i="37"/>
  <c r="D709" i="37"/>
  <c r="G709" i="37" s="1"/>
  <c r="B710" i="37"/>
  <c r="C710" i="37"/>
  <c r="D710" i="37"/>
  <c r="G710" i="37" s="1"/>
  <c r="B711" i="37"/>
  <c r="C711" i="37"/>
  <c r="D711" i="37"/>
  <c r="G711" i="37" s="1"/>
  <c r="B712" i="37"/>
  <c r="C712" i="37"/>
  <c r="D712" i="37"/>
  <c r="G712" i="37" s="1"/>
  <c r="B713" i="37"/>
  <c r="C713" i="37"/>
  <c r="D713" i="37"/>
  <c r="G713" i="37" s="1"/>
  <c r="B714" i="37"/>
  <c r="C714" i="37"/>
  <c r="D714" i="37"/>
  <c r="G714" i="37" s="1"/>
  <c r="B715" i="37"/>
  <c r="C715" i="37"/>
  <c r="D715" i="37"/>
  <c r="G715" i="37" s="1"/>
  <c r="B716" i="37"/>
  <c r="C716" i="37"/>
  <c r="D716" i="37"/>
  <c r="G716" i="37" s="1"/>
  <c r="B717" i="37"/>
  <c r="C717" i="37"/>
  <c r="D717" i="37"/>
  <c r="G717" i="37" s="1"/>
  <c r="B718" i="37"/>
  <c r="C718" i="37"/>
  <c r="D718" i="37"/>
  <c r="G718" i="37" s="1"/>
  <c r="B719" i="37"/>
  <c r="C719" i="37"/>
  <c r="D719" i="37"/>
  <c r="G719" i="37" s="1"/>
  <c r="B720" i="37"/>
  <c r="C720" i="37"/>
  <c r="D720" i="37"/>
  <c r="G720" i="37" s="1"/>
  <c r="B721" i="37"/>
  <c r="C721" i="37"/>
  <c r="D721" i="37"/>
  <c r="G721" i="37" s="1"/>
  <c r="B722" i="37"/>
  <c r="C722" i="37"/>
  <c r="D722" i="37"/>
  <c r="G722" i="37" s="1"/>
  <c r="B723" i="37"/>
  <c r="C723" i="37"/>
  <c r="D723" i="37"/>
  <c r="B724" i="37"/>
  <c r="C724" i="37"/>
  <c r="G724" i="37" s="1"/>
  <c r="D724" i="37"/>
  <c r="B725" i="37"/>
  <c r="C725" i="37"/>
  <c r="G725" i="37" s="1"/>
  <c r="D725" i="37"/>
  <c r="B726" i="37"/>
  <c r="C726" i="37"/>
  <c r="D726" i="37"/>
  <c r="B727" i="37"/>
  <c r="C727" i="37"/>
  <c r="D727" i="37"/>
  <c r="B728" i="37"/>
  <c r="C728" i="37"/>
  <c r="G728" i="37" s="1"/>
  <c r="D728" i="37"/>
  <c r="B729" i="37"/>
  <c r="C729" i="37"/>
  <c r="G729" i="37" s="1"/>
  <c r="D729" i="37"/>
  <c r="B730" i="37"/>
  <c r="C730" i="37"/>
  <c r="D730" i="37"/>
  <c r="B731" i="37"/>
  <c r="C731" i="37"/>
  <c r="D731" i="37"/>
  <c r="B732" i="37"/>
  <c r="C732" i="37"/>
  <c r="G732" i="37" s="1"/>
  <c r="D732" i="37"/>
  <c r="B733" i="37"/>
  <c r="C733" i="37"/>
  <c r="G733" i="37" s="1"/>
  <c r="D733" i="37"/>
  <c r="B734" i="37"/>
  <c r="C734" i="37"/>
  <c r="D734" i="37"/>
  <c r="B735" i="37"/>
  <c r="C735" i="37"/>
  <c r="D735" i="37"/>
  <c r="B736" i="37"/>
  <c r="C736" i="37"/>
  <c r="G736" i="37" s="1"/>
  <c r="D736" i="37"/>
  <c r="B737" i="37"/>
  <c r="C737" i="37"/>
  <c r="G737" i="37" s="1"/>
  <c r="D737" i="37"/>
  <c r="B738" i="37"/>
  <c r="C738" i="37"/>
  <c r="D738" i="37"/>
  <c r="B739" i="37"/>
  <c r="C739" i="37"/>
  <c r="D739" i="37"/>
  <c r="B740" i="37"/>
  <c r="C740" i="37"/>
  <c r="G740" i="37" s="1"/>
  <c r="D740" i="37"/>
  <c r="B741" i="37"/>
  <c r="C741" i="37"/>
  <c r="G741" i="37" s="1"/>
  <c r="D741" i="37"/>
  <c r="B742" i="37"/>
  <c r="C742" i="37"/>
  <c r="D742" i="37"/>
  <c r="B743" i="37"/>
  <c r="C743" i="37"/>
  <c r="G743" i="37" s="1"/>
  <c r="D743" i="37"/>
  <c r="B744" i="37"/>
  <c r="C744" i="37"/>
  <c r="G744" i="37" s="1"/>
  <c r="D744" i="37"/>
  <c r="B745" i="37"/>
  <c r="C745" i="37"/>
  <c r="G745" i="37" s="1"/>
  <c r="D745" i="37"/>
  <c r="B746" i="37"/>
  <c r="C746" i="37"/>
  <c r="D746" i="37"/>
  <c r="B747" i="37"/>
  <c r="C747" i="37"/>
  <c r="G747" i="37" s="1"/>
  <c r="D747" i="37"/>
  <c r="B748" i="37"/>
  <c r="C748" i="37"/>
  <c r="G748" i="37" s="1"/>
  <c r="D748" i="37"/>
  <c r="B749" i="37"/>
  <c r="C749" i="37"/>
  <c r="G749" i="37" s="1"/>
  <c r="D749" i="37"/>
  <c r="B750" i="37"/>
  <c r="C750" i="37"/>
  <c r="D750" i="37"/>
  <c r="B751" i="37"/>
  <c r="C751" i="37"/>
  <c r="G751" i="37" s="1"/>
  <c r="D751" i="37"/>
  <c r="B752" i="37"/>
  <c r="C752" i="37"/>
  <c r="G752" i="37" s="1"/>
  <c r="D752" i="37"/>
  <c r="B753" i="37"/>
  <c r="C753" i="37"/>
  <c r="G753" i="37" s="1"/>
  <c r="D753" i="37"/>
  <c r="B754" i="37"/>
  <c r="C754" i="37"/>
  <c r="D754" i="37"/>
  <c r="B755" i="37"/>
  <c r="C755" i="37"/>
  <c r="G755" i="37" s="1"/>
  <c r="D755" i="37"/>
  <c r="B756" i="37"/>
  <c r="C756" i="37"/>
  <c r="G756" i="37" s="1"/>
  <c r="D756" i="37"/>
  <c r="B757" i="37"/>
  <c r="C757" i="37"/>
  <c r="G757" i="37" s="1"/>
  <c r="D757" i="37"/>
  <c r="B758" i="37"/>
  <c r="C758" i="37"/>
  <c r="D758" i="37"/>
  <c r="B759" i="37"/>
  <c r="C759" i="37"/>
  <c r="G759" i="37" s="1"/>
  <c r="D759" i="37"/>
  <c r="B760" i="37"/>
  <c r="C760" i="37"/>
  <c r="G760" i="37" s="1"/>
  <c r="D760" i="37"/>
  <c r="B761" i="37"/>
  <c r="C761" i="37"/>
  <c r="G761" i="37" s="1"/>
  <c r="D761" i="37"/>
  <c r="B762" i="37"/>
  <c r="C762" i="37"/>
  <c r="D762" i="37"/>
  <c r="B763" i="37"/>
  <c r="C763" i="37"/>
  <c r="G763" i="37" s="1"/>
  <c r="D763" i="37"/>
  <c r="B764" i="37"/>
  <c r="C764" i="37"/>
  <c r="G764" i="37" s="1"/>
  <c r="D764" i="37"/>
  <c r="B765" i="37"/>
  <c r="C765" i="37"/>
  <c r="G765" i="37" s="1"/>
  <c r="D765" i="37"/>
  <c r="B766" i="37"/>
  <c r="C766" i="37"/>
  <c r="D766" i="37"/>
  <c r="B767" i="37"/>
  <c r="C767" i="37"/>
  <c r="G767" i="37" s="1"/>
  <c r="D767" i="37"/>
  <c r="B768" i="37"/>
  <c r="C768" i="37"/>
  <c r="G768" i="37" s="1"/>
  <c r="D768" i="37"/>
  <c r="B769" i="37"/>
  <c r="C769" i="37"/>
  <c r="G769" i="37" s="1"/>
  <c r="D769" i="37"/>
  <c r="B770" i="37"/>
  <c r="C770" i="37"/>
  <c r="D770" i="37"/>
  <c r="B771" i="37"/>
  <c r="C771" i="37"/>
  <c r="G771" i="37" s="1"/>
  <c r="D771" i="37"/>
  <c r="B772" i="37"/>
  <c r="C772" i="37"/>
  <c r="G772" i="37" s="1"/>
  <c r="D772" i="37"/>
  <c r="B773" i="37"/>
  <c r="C773" i="37"/>
  <c r="G773" i="37" s="1"/>
  <c r="D773" i="37"/>
  <c r="B774" i="37"/>
  <c r="C774" i="37"/>
  <c r="D774" i="37"/>
  <c r="B775" i="37"/>
  <c r="C775" i="37"/>
  <c r="G775" i="37" s="1"/>
  <c r="D775" i="37"/>
  <c r="B776" i="37"/>
  <c r="C776" i="37"/>
  <c r="G776" i="37" s="1"/>
  <c r="D776" i="37"/>
  <c r="B777" i="37"/>
  <c r="C777" i="37"/>
  <c r="G777" i="37" s="1"/>
  <c r="D777" i="37"/>
  <c r="B778" i="37"/>
  <c r="C778" i="37"/>
  <c r="D778" i="37"/>
  <c r="B779" i="37"/>
  <c r="C779" i="37"/>
  <c r="G779" i="37" s="1"/>
  <c r="D779" i="37"/>
  <c r="B780" i="37"/>
  <c r="C780" i="37"/>
  <c r="G780" i="37" s="1"/>
  <c r="D780" i="37"/>
  <c r="B781" i="37"/>
  <c r="C781" i="37"/>
  <c r="G781" i="37" s="1"/>
  <c r="D781" i="37"/>
  <c r="B782" i="37"/>
  <c r="C782" i="37"/>
  <c r="D782" i="37"/>
  <c r="B783" i="37"/>
  <c r="C783" i="37"/>
  <c r="G783" i="37" s="1"/>
  <c r="D783" i="37"/>
  <c r="B784" i="37"/>
  <c r="C784" i="37"/>
  <c r="G784" i="37" s="1"/>
  <c r="D784" i="37"/>
  <c r="B785" i="37"/>
  <c r="C785" i="37"/>
  <c r="G785" i="37" s="1"/>
  <c r="D785" i="37"/>
  <c r="B786" i="37"/>
  <c r="C786" i="37"/>
  <c r="D786" i="37"/>
  <c r="B787" i="37"/>
  <c r="C787" i="37"/>
  <c r="G787" i="37" s="1"/>
  <c r="D787" i="37"/>
  <c r="B788" i="37"/>
  <c r="C788" i="37"/>
  <c r="G788" i="37" s="1"/>
  <c r="D788" i="37"/>
  <c r="B789" i="37"/>
  <c r="C789" i="37"/>
  <c r="G789" i="37" s="1"/>
  <c r="D789" i="37"/>
  <c r="B790" i="37"/>
  <c r="C790" i="37"/>
  <c r="D790" i="37"/>
  <c r="B791" i="37"/>
  <c r="C791" i="37"/>
  <c r="G791" i="37" s="1"/>
  <c r="D791" i="37"/>
  <c r="B792" i="37"/>
  <c r="C792" i="37"/>
  <c r="G792" i="37" s="1"/>
  <c r="D792" i="37"/>
  <c r="B793" i="37"/>
  <c r="C793" i="37"/>
  <c r="G793" i="37" s="1"/>
  <c r="D793" i="37"/>
  <c r="B794" i="37"/>
  <c r="C794" i="37"/>
  <c r="D794" i="37"/>
  <c r="B795" i="37"/>
  <c r="C795" i="37"/>
  <c r="G795" i="37" s="1"/>
  <c r="D795" i="37"/>
  <c r="B796" i="37"/>
  <c r="C796" i="37"/>
  <c r="G796" i="37" s="1"/>
  <c r="D796" i="37"/>
  <c r="B797" i="37"/>
  <c r="C797" i="37"/>
  <c r="G797" i="37" s="1"/>
  <c r="D797" i="37"/>
  <c r="B798" i="37"/>
  <c r="C798" i="37"/>
  <c r="D798" i="37"/>
  <c r="B799" i="37"/>
  <c r="C799" i="37"/>
  <c r="G799" i="37" s="1"/>
  <c r="D799" i="37"/>
  <c r="B800" i="37"/>
  <c r="C800" i="37"/>
  <c r="G800" i="37" s="1"/>
  <c r="D800" i="37"/>
  <c r="B801" i="37"/>
  <c r="C801" i="37"/>
  <c r="G801" i="37" s="1"/>
  <c r="D801" i="37"/>
  <c r="B802" i="37"/>
  <c r="C802" i="37"/>
  <c r="D802" i="37"/>
  <c r="G802" i="37" s="1"/>
  <c r="B803" i="37"/>
  <c r="C803" i="37"/>
  <c r="D803" i="37"/>
  <c r="G803" i="37" s="1"/>
  <c r="B804" i="37"/>
  <c r="C804" i="37"/>
  <c r="D804" i="37"/>
  <c r="G804" i="37" s="1"/>
  <c r="B805" i="37"/>
  <c r="C805" i="37"/>
  <c r="D805" i="37"/>
  <c r="G805" i="37" s="1"/>
  <c r="B806" i="37"/>
  <c r="C806" i="37"/>
  <c r="D806" i="37"/>
  <c r="G806" i="37" s="1"/>
  <c r="B807" i="37"/>
  <c r="C807" i="37"/>
  <c r="D807" i="37"/>
  <c r="G807" i="37" s="1"/>
  <c r="B808" i="37"/>
  <c r="C808" i="37"/>
  <c r="D808" i="37"/>
  <c r="G808" i="37" s="1"/>
  <c r="B809" i="37"/>
  <c r="C809" i="37"/>
  <c r="D809" i="37"/>
  <c r="G809" i="37" s="1"/>
  <c r="B810" i="37"/>
  <c r="C810" i="37"/>
  <c r="D810" i="37"/>
  <c r="G810" i="37" s="1"/>
  <c r="B811" i="37"/>
  <c r="C811" i="37"/>
  <c r="D811" i="37"/>
  <c r="G811" i="37" s="1"/>
  <c r="B812" i="37"/>
  <c r="C812" i="37"/>
  <c r="D812" i="37"/>
  <c r="G812" i="37" s="1"/>
  <c r="B813" i="37"/>
  <c r="C813" i="37"/>
  <c r="D813" i="37"/>
  <c r="G813" i="37" s="1"/>
  <c r="B814" i="37"/>
  <c r="C814" i="37"/>
  <c r="D814" i="37"/>
  <c r="G814" i="37" s="1"/>
  <c r="B815" i="37"/>
  <c r="C815" i="37"/>
  <c r="D815" i="37"/>
  <c r="G815" i="37" s="1"/>
  <c r="B816" i="37"/>
  <c r="C816" i="37"/>
  <c r="D816" i="37"/>
  <c r="G816" i="37" s="1"/>
  <c r="B817" i="37"/>
  <c r="C817" i="37"/>
  <c r="D817" i="37"/>
  <c r="G817" i="37" s="1"/>
  <c r="B818" i="37"/>
  <c r="C818" i="37"/>
  <c r="D818" i="37"/>
  <c r="G818" i="37" s="1"/>
  <c r="B819" i="37"/>
  <c r="C819" i="37"/>
  <c r="D819" i="37"/>
  <c r="G819" i="37" s="1"/>
  <c r="B820" i="37"/>
  <c r="C820" i="37"/>
  <c r="D820" i="37"/>
  <c r="G820" i="37" s="1"/>
  <c r="B821" i="37"/>
  <c r="C821" i="37"/>
  <c r="D821" i="37"/>
  <c r="G821" i="37" s="1"/>
  <c r="B822" i="37"/>
  <c r="C822" i="37"/>
  <c r="D822" i="37"/>
  <c r="G822" i="37" s="1"/>
  <c r="B823" i="37"/>
  <c r="C823" i="37"/>
  <c r="D823" i="37"/>
  <c r="G823" i="37" s="1"/>
  <c r="B824" i="37"/>
  <c r="C824" i="37"/>
  <c r="D824" i="37"/>
  <c r="G824" i="37" s="1"/>
  <c r="B825" i="37"/>
  <c r="C825" i="37"/>
  <c r="D825" i="37"/>
  <c r="G825" i="37" s="1"/>
  <c r="B826" i="37"/>
  <c r="C826" i="37"/>
  <c r="D826" i="37"/>
  <c r="G826" i="37" s="1"/>
  <c r="B827" i="37"/>
  <c r="C827" i="37"/>
  <c r="D827" i="37"/>
  <c r="G827" i="37" s="1"/>
  <c r="B828" i="37"/>
  <c r="C828" i="37"/>
  <c r="D828" i="37"/>
  <c r="G828" i="37" s="1"/>
  <c r="B829" i="37"/>
  <c r="C829" i="37"/>
  <c r="D829" i="37"/>
  <c r="G829" i="37" s="1"/>
  <c r="B830" i="37"/>
  <c r="C830" i="37"/>
  <c r="D830" i="37"/>
  <c r="G830" i="37" s="1"/>
  <c r="B831" i="37"/>
  <c r="C831" i="37"/>
  <c r="D831" i="37"/>
  <c r="G831" i="37" s="1"/>
  <c r="B832" i="37"/>
  <c r="C832" i="37"/>
  <c r="D832" i="37"/>
  <c r="G832" i="37" s="1"/>
  <c r="B833" i="37"/>
  <c r="C833" i="37"/>
  <c r="D833" i="37"/>
  <c r="G833" i="37" s="1"/>
  <c r="B834" i="37"/>
  <c r="C834" i="37"/>
  <c r="D834" i="37"/>
  <c r="G834" i="37" s="1"/>
  <c r="B835" i="37"/>
  <c r="C835" i="37"/>
  <c r="D835" i="37"/>
  <c r="G835" i="37" s="1"/>
  <c r="B836" i="37"/>
  <c r="C836" i="37"/>
  <c r="D836" i="37"/>
  <c r="G836" i="37" s="1"/>
  <c r="B837" i="37"/>
  <c r="C837" i="37"/>
  <c r="D837" i="37"/>
  <c r="G837" i="37" s="1"/>
  <c r="B838" i="37"/>
  <c r="C838" i="37"/>
  <c r="D838" i="37"/>
  <c r="G838" i="37" s="1"/>
  <c r="B839" i="37"/>
  <c r="C839" i="37"/>
  <c r="D839" i="37"/>
  <c r="G839" i="37" s="1"/>
  <c r="B840" i="37"/>
  <c r="C840" i="37"/>
  <c r="D840" i="37"/>
  <c r="G840" i="37" s="1"/>
  <c r="B841" i="37"/>
  <c r="C841" i="37"/>
  <c r="D841" i="37"/>
  <c r="G841" i="37" s="1"/>
  <c r="B842" i="37"/>
  <c r="C842" i="37"/>
  <c r="D842" i="37"/>
  <c r="G842" i="37" s="1"/>
  <c r="B843" i="37"/>
  <c r="C843" i="37"/>
  <c r="D843" i="37"/>
  <c r="G843" i="37" s="1"/>
  <c r="B844" i="37"/>
  <c r="C844" i="37"/>
  <c r="D844" i="37"/>
  <c r="G844" i="37" s="1"/>
  <c r="B845" i="37"/>
  <c r="C845" i="37"/>
  <c r="D845" i="37"/>
  <c r="G845" i="37" s="1"/>
  <c r="B846" i="37"/>
  <c r="C846" i="37"/>
  <c r="D846" i="37"/>
  <c r="G846" i="37" s="1"/>
  <c r="B847" i="37"/>
  <c r="C847" i="37"/>
  <c r="D847" i="37"/>
  <c r="G847" i="37" s="1"/>
  <c r="B848" i="37"/>
  <c r="C848" i="37"/>
  <c r="D848" i="37"/>
  <c r="G848" i="37" s="1"/>
  <c r="B849" i="37"/>
  <c r="C849" i="37"/>
  <c r="D849" i="37"/>
  <c r="G849" i="37" s="1"/>
  <c r="B850" i="37"/>
  <c r="C850" i="37"/>
  <c r="D850" i="37"/>
  <c r="G850" i="37" s="1"/>
  <c r="B851" i="37"/>
  <c r="C851" i="37"/>
  <c r="D851" i="37"/>
  <c r="G851" i="37" s="1"/>
  <c r="B852" i="37"/>
  <c r="C852" i="37"/>
  <c r="D852" i="37"/>
  <c r="G852" i="37" s="1"/>
  <c r="B853" i="37"/>
  <c r="C853" i="37"/>
  <c r="D853" i="37"/>
  <c r="G853" i="37" s="1"/>
  <c r="B854" i="37"/>
  <c r="C854" i="37"/>
  <c r="D854" i="37"/>
  <c r="G854" i="37" s="1"/>
  <c r="B855" i="37"/>
  <c r="C855" i="37"/>
  <c r="D855" i="37"/>
  <c r="G855" i="37" s="1"/>
  <c r="B856" i="37"/>
  <c r="C856" i="37"/>
  <c r="D856" i="37"/>
  <c r="G856" i="37" s="1"/>
  <c r="B857" i="37"/>
  <c r="C857" i="37"/>
  <c r="D857" i="37"/>
  <c r="G857" i="37" s="1"/>
  <c r="B858" i="37"/>
  <c r="C858" i="37"/>
  <c r="D858" i="37"/>
  <c r="G858" i="37" s="1"/>
  <c r="B859" i="37"/>
  <c r="C859" i="37"/>
  <c r="D859" i="37"/>
  <c r="G859" i="37" s="1"/>
  <c r="B860" i="37"/>
  <c r="C860" i="37"/>
  <c r="D860" i="37"/>
  <c r="G860" i="37" s="1"/>
  <c r="B861" i="37"/>
  <c r="C861" i="37"/>
  <c r="D861" i="37"/>
  <c r="G861" i="37" s="1"/>
  <c r="B862" i="37"/>
  <c r="C862" i="37"/>
  <c r="G862" i="37" s="1"/>
  <c r="D862" i="37"/>
  <c r="B863" i="37"/>
  <c r="C863" i="37"/>
  <c r="D863" i="37"/>
  <c r="G863" i="37" s="1"/>
  <c r="B864" i="37"/>
  <c r="C864" i="37"/>
  <c r="D864" i="37"/>
  <c r="G864" i="37" s="1"/>
  <c r="B865" i="37"/>
  <c r="C865" i="37"/>
  <c r="G865" i="37" s="1"/>
  <c r="D865" i="37"/>
  <c r="B866" i="37"/>
  <c r="C866" i="37"/>
  <c r="G866" i="37" s="1"/>
  <c r="D866" i="37"/>
  <c r="B867" i="37"/>
  <c r="C867" i="37"/>
  <c r="G867" i="37" s="1"/>
  <c r="D867" i="37"/>
  <c r="B868" i="37"/>
  <c r="C868" i="37"/>
  <c r="G868" i="37" s="1"/>
  <c r="D868" i="37"/>
  <c r="B869" i="37"/>
  <c r="C869" i="37"/>
  <c r="G869" i="37" s="1"/>
  <c r="D869" i="37"/>
  <c r="B870" i="37"/>
  <c r="C870" i="37"/>
  <c r="G870" i="37" s="1"/>
  <c r="D870" i="37"/>
  <c r="B871" i="37"/>
  <c r="C871" i="37"/>
  <c r="G871" i="37" s="1"/>
  <c r="D871" i="37"/>
  <c r="B872" i="37"/>
  <c r="C872" i="37"/>
  <c r="G872" i="37" s="1"/>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C901" i="37"/>
  <c r="D901" i="37"/>
  <c r="B902" i="37"/>
  <c r="C902" i="37"/>
  <c r="D902" i="37"/>
  <c r="B903" i="37"/>
  <c r="G903" i="37" s="1"/>
  <c r="C903" i="37"/>
  <c r="D903" i="37"/>
  <c r="B904" i="37"/>
  <c r="G904" i="37" s="1"/>
  <c r="C904" i="37"/>
  <c r="D904" i="37"/>
  <c r="B905" i="37"/>
  <c r="C905" i="37"/>
  <c r="D905" i="37"/>
  <c r="B906" i="37"/>
  <c r="C906" i="37"/>
  <c r="D906" i="37"/>
  <c r="B907" i="37"/>
  <c r="G907" i="37" s="1"/>
  <c r="C907" i="37"/>
  <c r="D907" i="37"/>
  <c r="B908" i="37"/>
  <c r="G908" i="37" s="1"/>
  <c r="C908" i="37"/>
  <c r="D908" i="37"/>
  <c r="B909" i="37"/>
  <c r="C909" i="37"/>
  <c r="D909" i="37"/>
  <c r="B910" i="37"/>
  <c r="C910" i="37"/>
  <c r="D910" i="37"/>
  <c r="B911" i="37"/>
  <c r="G911" i="37" s="1"/>
  <c r="C911" i="37"/>
  <c r="D911" i="37"/>
  <c r="B912" i="37"/>
  <c r="G912" i="37" s="1"/>
  <c r="C912" i="37"/>
  <c r="D912" i="37"/>
  <c r="B913" i="37"/>
  <c r="C913" i="37"/>
  <c r="D913" i="37"/>
  <c r="B914" i="37"/>
  <c r="C914" i="37"/>
  <c r="D914" i="37"/>
  <c r="B915" i="37"/>
  <c r="G915" i="37" s="1"/>
  <c r="C915" i="37"/>
  <c r="D915" i="37"/>
  <c r="B916" i="37"/>
  <c r="G916" i="37" s="1"/>
  <c r="C916" i="37"/>
  <c r="D916" i="37"/>
  <c r="B917" i="37"/>
  <c r="C917" i="37"/>
  <c r="D917" i="37"/>
  <c r="B918" i="37"/>
  <c r="C918" i="37"/>
  <c r="D918" i="37"/>
  <c r="B919" i="37"/>
  <c r="G919" i="37" s="1"/>
  <c r="C919" i="37"/>
  <c r="D919" i="37"/>
  <c r="B920" i="37"/>
  <c r="G920" i="37" s="1"/>
  <c r="C920" i="37"/>
  <c r="D920" i="37"/>
  <c r="B921" i="37"/>
  <c r="C921" i="37"/>
  <c r="D921" i="37"/>
  <c r="B922" i="37"/>
  <c r="C922" i="37"/>
  <c r="D922" i="37"/>
  <c r="B923" i="37"/>
  <c r="G923" i="37" s="1"/>
  <c r="C923" i="37"/>
  <c r="D923" i="37"/>
  <c r="B924" i="37"/>
  <c r="G924" i="37" s="1"/>
  <c r="C924" i="37"/>
  <c r="D924" i="37"/>
  <c r="B925" i="37"/>
  <c r="C925" i="37"/>
  <c r="D925" i="37"/>
  <c r="B926" i="37"/>
  <c r="C926" i="37"/>
  <c r="D926" i="37"/>
  <c r="B927" i="37"/>
  <c r="G927" i="37" s="1"/>
  <c r="C927" i="37"/>
  <c r="D927" i="37"/>
  <c r="B928" i="37"/>
  <c r="G928" i="37" s="1"/>
  <c r="C928" i="37"/>
  <c r="D928" i="37"/>
  <c r="B929" i="37"/>
  <c r="C929" i="37"/>
  <c r="D929" i="37"/>
  <c r="B930" i="37"/>
  <c r="C930" i="37"/>
  <c r="D930" i="37"/>
  <c r="B931" i="37"/>
  <c r="G931" i="37" s="1"/>
  <c r="C931" i="37"/>
  <c r="D931" i="37"/>
  <c r="B932" i="37"/>
  <c r="G932" i="37" s="1"/>
  <c r="C932" i="37"/>
  <c r="D932" i="37"/>
  <c r="B933" i="37"/>
  <c r="C933" i="37"/>
  <c r="D933" i="37"/>
  <c r="B934" i="37"/>
  <c r="C934" i="37"/>
  <c r="D934" i="37"/>
  <c r="B935" i="37"/>
  <c r="G935" i="37" s="1"/>
  <c r="C935" i="37"/>
  <c r="D935" i="37"/>
  <c r="B936" i="37"/>
  <c r="G936" i="37" s="1"/>
  <c r="C936" i="37"/>
  <c r="D936" i="37"/>
  <c r="B937" i="37"/>
  <c r="C937" i="37"/>
  <c r="D937" i="37"/>
  <c r="B938" i="37"/>
  <c r="C938" i="37"/>
  <c r="D938" i="37"/>
  <c r="B939" i="37"/>
  <c r="G939" i="37" s="1"/>
  <c r="C939" i="37"/>
  <c r="D939" i="37"/>
  <c r="B940" i="37"/>
  <c r="G940" i="37" s="1"/>
  <c r="C940" i="37"/>
  <c r="D940" i="37"/>
  <c r="B941" i="37"/>
  <c r="C941" i="37"/>
  <c r="D941" i="37"/>
  <c r="B942" i="37"/>
  <c r="C942" i="37"/>
  <c r="D942" i="37"/>
  <c r="B943" i="37"/>
  <c r="G943" i="37" s="1"/>
  <c r="C943" i="37"/>
  <c r="D943" i="37"/>
  <c r="B944" i="37"/>
  <c r="G944" i="37" s="1"/>
  <c r="C944" i="37"/>
  <c r="D944" i="37"/>
  <c r="B945" i="37"/>
  <c r="C945" i="37"/>
  <c r="D945" i="37"/>
  <c r="B946" i="37"/>
  <c r="C946" i="37"/>
  <c r="D946" i="37"/>
  <c r="B947" i="37"/>
  <c r="G947" i="37" s="1"/>
  <c r="C947" i="37"/>
  <c r="D947" i="37"/>
  <c r="B948" i="37"/>
  <c r="G948" i="37" s="1"/>
  <c r="C948" i="37"/>
  <c r="D948" i="37"/>
  <c r="B949" i="37"/>
  <c r="C949" i="37"/>
  <c r="D949" i="37"/>
  <c r="B950" i="37"/>
  <c r="C950" i="37"/>
  <c r="D950" i="37"/>
  <c r="B951" i="37"/>
  <c r="G951" i="37" s="1"/>
  <c r="C951" i="37"/>
  <c r="D951" i="37"/>
  <c r="B952" i="37"/>
  <c r="G952" i="37" s="1"/>
  <c r="C952" i="37"/>
  <c r="D952" i="37"/>
  <c r="B953" i="37"/>
  <c r="C953" i="37"/>
  <c r="D953" i="37"/>
  <c r="B954" i="37"/>
  <c r="C954" i="37"/>
  <c r="D954" i="37"/>
  <c r="B955" i="37"/>
  <c r="G955" i="37" s="1"/>
  <c r="C955" i="37"/>
  <c r="D955" i="37"/>
  <c r="B956" i="37"/>
  <c r="G956" i="37" s="1"/>
  <c r="C956" i="37"/>
  <c r="D956" i="37"/>
  <c r="B957" i="37"/>
  <c r="C957" i="37"/>
  <c r="D957" i="37"/>
  <c r="B958" i="37"/>
  <c r="C958" i="37"/>
  <c r="D958" i="37"/>
  <c r="B959" i="37"/>
  <c r="G959" i="37" s="1"/>
  <c r="C959" i="37"/>
  <c r="D959" i="37"/>
  <c r="B960" i="37"/>
  <c r="G960" i="37" s="1"/>
  <c r="C960" i="37"/>
  <c r="D960" i="37"/>
  <c r="B961" i="37"/>
  <c r="C961" i="37"/>
  <c r="D961" i="37"/>
  <c r="B962" i="37"/>
  <c r="C962" i="37"/>
  <c r="D962" i="37"/>
  <c r="B963" i="37"/>
  <c r="G963" i="37" s="1"/>
  <c r="C963" i="37"/>
  <c r="D963" i="37"/>
  <c r="B964" i="37"/>
  <c r="G964" i="37" s="1"/>
  <c r="C964" i="37"/>
  <c r="D964" i="37"/>
  <c r="B965" i="37"/>
  <c r="C965" i="37"/>
  <c r="D965" i="37"/>
  <c r="B966" i="37"/>
  <c r="C966" i="37"/>
  <c r="D966" i="37"/>
  <c r="B967" i="37"/>
  <c r="G967" i="37" s="1"/>
  <c r="C967" i="37"/>
  <c r="D967" i="37"/>
  <c r="B968" i="37"/>
  <c r="G968" i="37" s="1"/>
  <c r="C968" i="37"/>
  <c r="D968" i="37"/>
  <c r="B969" i="37"/>
  <c r="C969" i="37"/>
  <c r="D969" i="37"/>
  <c r="B970" i="37"/>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G980" i="37" s="1"/>
  <c r="C980" i="37"/>
  <c r="D980" i="37"/>
  <c r="B981" i="37"/>
  <c r="C981" i="37"/>
  <c r="D981" i="37"/>
  <c r="B982" i="37"/>
  <c r="C982" i="37"/>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s="1"/>
  <c r="B992" i="37"/>
  <c r="C992" i="37"/>
  <c r="D992" i="37"/>
  <c r="B993" i="37"/>
  <c r="C993" i="37"/>
  <c r="D993" i="37"/>
  <c r="B994" i="37"/>
  <c r="C994" i="37"/>
  <c r="D994" i="37"/>
  <c r="B995" i="37"/>
  <c r="C995" i="37"/>
  <c r="D995" i="37"/>
  <c r="G995" i="37" s="1"/>
  <c r="B996" i="37"/>
  <c r="C996" i="37"/>
  <c r="D996" i="37"/>
  <c r="B997" i="37"/>
  <c r="C997" i="37"/>
  <c r="D997" i="37"/>
  <c r="B998" i="37"/>
  <c r="C998" i="37"/>
  <c r="D998" i="37"/>
  <c r="B999" i="37"/>
  <c r="C999" i="37"/>
  <c r="D999" i="37"/>
  <c r="G999" i="37" s="1"/>
  <c r="B1000" i="37"/>
  <c r="B1001" i="37"/>
  <c r="C1001" i="37"/>
  <c r="D1001" i="37"/>
  <c r="G1001" i="37" s="1"/>
  <c r="B1002" i="37"/>
  <c r="C1002" i="37"/>
  <c r="D1002" i="37"/>
  <c r="G1002" i="37" s="1"/>
  <c r="B1003" i="37"/>
  <c r="C1003" i="37"/>
  <c r="D1003" i="37"/>
  <c r="G1003" i="37" s="1"/>
  <c r="B1004" i="37"/>
  <c r="C1004" i="37"/>
  <c r="D1004" i="37"/>
  <c r="G1004" i="37" s="1"/>
  <c r="B1005" i="37"/>
  <c r="C1005" i="37"/>
  <c r="D1005" i="37"/>
  <c r="G1005" i="37" s="1"/>
  <c r="B1006" i="37"/>
  <c r="B1007" i="37"/>
  <c r="C1007" i="37"/>
  <c r="D1007" i="37"/>
  <c r="B1008" i="37"/>
  <c r="C1008" i="37"/>
  <c r="D1008" i="37"/>
  <c r="B1009" i="37"/>
  <c r="G1009" i="37" s="1"/>
  <c r="C1009" i="37"/>
  <c r="D1009" i="37"/>
  <c r="B1010" i="37"/>
  <c r="G1010" i="37" s="1"/>
  <c r="C1010" i="37"/>
  <c r="D1010" i="37"/>
  <c r="B1011" i="37"/>
  <c r="G1011" i="37" s="1"/>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D1019" i="37"/>
  <c r="B1020" i="37"/>
  <c r="C1020" i="37"/>
  <c r="D1020" i="37"/>
  <c r="G1020" i="37" s="1"/>
  <c r="B1021" i="37"/>
  <c r="C1021" i="37"/>
  <c r="D1021" i="37"/>
  <c r="B1022" i="37"/>
  <c r="C1022" i="37"/>
  <c r="D1022" i="37"/>
  <c r="B1023" i="37"/>
  <c r="B1024" i="37"/>
  <c r="G1024" i="37" s="1"/>
  <c r="C1024" i="37"/>
  <c r="D1024" i="37"/>
  <c r="B1025" i="37"/>
  <c r="C1025" i="37"/>
  <c r="D1025" i="37"/>
  <c r="B1026" i="37"/>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B1043" i="37"/>
  <c r="C1043" i="37"/>
  <c r="D1043" i="37"/>
  <c r="H1043" i="37" s="1"/>
  <c r="B1044" i="37"/>
  <c r="C1044" i="37"/>
  <c r="D1044" i="37"/>
  <c r="B1045" i="37"/>
  <c r="C1045" i="37"/>
  <c r="D1045" i="37"/>
  <c r="G1045" i="37" s="1"/>
  <c r="B1046" i="37"/>
  <c r="C1046" i="37"/>
  <c r="D1046" i="37"/>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B1109" i="37"/>
  <c r="C1109" i="37"/>
  <c r="D1109" i="37"/>
  <c r="B1110" i="37"/>
  <c r="C1110" i="37"/>
  <c r="D1110" i="37"/>
  <c r="G1110" i="37" s="1"/>
  <c r="B1111" i="37"/>
  <c r="C1111" i="37"/>
  <c r="D1111" i="37"/>
  <c r="G1111" i="37" s="1"/>
  <c r="B1112" i="37"/>
  <c r="B1113" i="37"/>
  <c r="C1113" i="37"/>
  <c r="D1113" i="37"/>
  <c r="G1113" i="37"/>
  <c r="B1114" i="37"/>
  <c r="C1114" i="37"/>
  <c r="D1114" i="37"/>
  <c r="G1114" i="37"/>
  <c r="B1115" i="37"/>
  <c r="C1115" i="37"/>
  <c r="D1115" i="37"/>
  <c r="G1115" i="37"/>
  <c r="B1116" i="37"/>
  <c r="B1117" i="37"/>
  <c r="C1117" i="37"/>
  <c r="G1117" i="37" s="1"/>
  <c r="D1117" i="37"/>
  <c r="B1118" i="37"/>
  <c r="C1118" i="37"/>
  <c r="G1118" i="37" s="1"/>
  <c r="D1118" i="37"/>
  <c r="B1119" i="37"/>
  <c r="B1120" i="37"/>
  <c r="G1120" i="37" s="1"/>
  <c r="C1120" i="37"/>
  <c r="D1120" i="37"/>
  <c r="B1121" i="37"/>
  <c r="C1121" i="37"/>
  <c r="G1121" i="37" s="1"/>
  <c r="D1121" i="37"/>
  <c r="B1122" i="37"/>
  <c r="C1122" i="37"/>
  <c r="G1122" i="37" s="1"/>
  <c r="D1122" i="37"/>
  <c r="B1123" i="37"/>
  <c r="C1123" i="37"/>
  <c r="G1123" i="37" s="1"/>
  <c r="D1123" i="37"/>
  <c r="B1124" i="37"/>
  <c r="G1124" i="37" s="1"/>
  <c r="C1124" i="37"/>
  <c r="D1124" i="37"/>
  <c r="B1125" i="37"/>
  <c r="C1125" i="37"/>
  <c r="D1125" i="37"/>
  <c r="B1126" i="37"/>
  <c r="G1126" i="37" s="1"/>
  <c r="C1126" i="37"/>
  <c r="D1126" i="37"/>
  <c r="B1127" i="37"/>
  <c r="G1127" i="37" s="1"/>
  <c r="C1127" i="37"/>
  <c r="D1127" i="37"/>
  <c r="B1128" i="37"/>
  <c r="C1128" i="37"/>
  <c r="G1128" i="37" s="1"/>
  <c r="D1128" i="37"/>
  <c r="B1129" i="37"/>
  <c r="C1129" i="37"/>
  <c r="D1129" i="37"/>
  <c r="B1130" i="37"/>
  <c r="C1130" i="37"/>
  <c r="D1130" i="37"/>
  <c r="B1131" i="37"/>
  <c r="C1131" i="37"/>
  <c r="D1131" i="37"/>
  <c r="B1132" i="37"/>
  <c r="C1132" i="37"/>
  <c r="G1132" i="37" s="1"/>
  <c r="D1132" i="37"/>
  <c r="B1133" i="37"/>
  <c r="C1133" i="37"/>
  <c r="D1133" i="37"/>
  <c r="B1134" i="37"/>
  <c r="B1135" i="37"/>
  <c r="C1135" i="37"/>
  <c r="G1135" i="37" s="1"/>
  <c r="D1135" i="37"/>
  <c r="B1136" i="37"/>
  <c r="C1136" i="37"/>
  <c r="G1136" i="37" s="1"/>
  <c r="D1136" i="37"/>
  <c r="B1137" i="37"/>
  <c r="C1137" i="37"/>
  <c r="D1137" i="37"/>
  <c r="G1137" i="37" s="1"/>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D1159" i="37"/>
  <c r="B1160" i="37"/>
  <c r="B1161" i="37"/>
  <c r="C1161" i="37"/>
  <c r="D1161" i="37"/>
  <c r="B1162" i="37"/>
  <c r="C1162" i="37"/>
  <c r="D1162" i="37"/>
  <c r="B1163" i="37"/>
  <c r="C1163" i="37"/>
  <c r="G1163" i="37" s="1"/>
  <c r="D1163" i="37"/>
  <c r="B1164" i="37"/>
  <c r="C1164" i="37"/>
  <c r="D1164" i="37"/>
  <c r="B1165" i="37"/>
  <c r="C1165" i="37"/>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B1188" i="37"/>
  <c r="C1188" i="37"/>
  <c r="D1188" i="37"/>
  <c r="B1189" i="37"/>
  <c r="C1189" i="37"/>
  <c r="G1189" i="37" s="1"/>
  <c r="D1189" i="37"/>
  <c r="B1190" i="37"/>
  <c r="C1190" i="37"/>
  <c r="D1190" i="37"/>
  <c r="B1191" i="37"/>
  <c r="C1191" i="37"/>
  <c r="D1191" i="37"/>
  <c r="B1192" i="37"/>
  <c r="C1192" i="37"/>
  <c r="D1192" i="37"/>
  <c r="B1193" i="37"/>
  <c r="C1193" i="37"/>
  <c r="G1193" i="37" s="1"/>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G1207" i="37" s="1"/>
  <c r="D1207" i="37"/>
  <c r="B1208" i="37"/>
  <c r="B1209" i="37"/>
  <c r="C1209" i="37"/>
  <c r="D1209" i="37"/>
  <c r="B1210" i="37"/>
  <c r="C1210" i="37"/>
  <c r="G1210" i="37" s="1"/>
  <c r="D1210" i="37"/>
  <c r="B1211" i="37"/>
  <c r="C1211" i="37"/>
  <c r="G1211" i="37" s="1"/>
  <c r="D1211" i="37"/>
  <c r="B1212" i="37"/>
  <c r="B1213" i="37"/>
  <c r="G1213" i="37" s="1"/>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H1253" i="37" s="1"/>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G1329" i="37" s="1"/>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G1344" i="37" s="1"/>
  <c r="D1344" i="37"/>
  <c r="B1345" i="37"/>
  <c r="C1345" i="37"/>
  <c r="G1345" i="37" s="1"/>
  <c r="D1345" i="37"/>
  <c r="B1346" i="37"/>
  <c r="C1346" i="37"/>
  <c r="G1346" i="37" s="1"/>
  <c r="D1346" i="37"/>
  <c r="B1347" i="37"/>
  <c r="C1347" i="37"/>
  <c r="G1347" i="37" s="1"/>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G1401" i="37" s="1"/>
  <c r="D1401" i="37"/>
  <c r="B1402" i="37"/>
  <c r="C1402" i="37"/>
  <c r="G1402" i="37" s="1"/>
  <c r="D1402" i="37"/>
  <c r="B1403" i="37"/>
  <c r="C1403" i="37"/>
  <c r="G1403" i="37" s="1"/>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C1427" i="37"/>
  <c r="D1427" i="37"/>
  <c r="B1428" i="37"/>
  <c r="G1428" i="37" s="1"/>
  <c r="C1428" i="37"/>
  <c r="D1428" i="37"/>
  <c r="B1429" i="37"/>
  <c r="G1429" i="37" s="1"/>
  <c r="C1429" i="37"/>
  <c r="D1429" i="37"/>
  <c r="B1430" i="37"/>
  <c r="G1430" i="37" s="1"/>
  <c r="C1430" i="37"/>
  <c r="D1430" i="37"/>
  <c r="B1431" i="37"/>
  <c r="G1431" i="37" s="1"/>
  <c r="C1431" i="37"/>
  <c r="D1431" i="37"/>
  <c r="B1432" i="37"/>
  <c r="G1432" i="37" s="1"/>
  <c r="C1432" i="37"/>
  <c r="D1432" i="37"/>
  <c r="B1433" i="37"/>
  <c r="B1434" i="37"/>
  <c r="C1434" i="37"/>
  <c r="G1434" i="37" s="1"/>
  <c r="I1434" i="37" s="1"/>
  <c r="D1434" i="37"/>
  <c r="B1435" i="37"/>
  <c r="C1435" i="37"/>
  <c r="G1435" i="37" s="1"/>
  <c r="D1435" i="37"/>
  <c r="B1436" i="37"/>
  <c r="C1436" i="37"/>
  <c r="G1436" i="37" s="1"/>
  <c r="D1436" i="37"/>
  <c r="B1437" i="37"/>
  <c r="C1437" i="37"/>
  <c r="G1437" i="37" s="1"/>
  <c r="D1437" i="37"/>
  <c r="B1438" i="37"/>
  <c r="C1438" i="37"/>
  <c r="G1438" i="37" s="1"/>
  <c r="I1438" i="37" s="1"/>
  <c r="D1438" i="37"/>
  <c r="B1439" i="37"/>
  <c r="C1439" i="37"/>
  <c r="G1439" i="37" s="1"/>
  <c r="D1439" i="37"/>
  <c r="B1440" i="37"/>
  <c r="C1440" i="37"/>
  <c r="G1440" i="37" s="1"/>
  <c r="D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G1468" i="37" s="1"/>
  <c r="C1468" i="37"/>
  <c r="B1469" i="37"/>
  <c r="B1470" i="37"/>
  <c r="C1470" i="37"/>
  <c r="G1470" i="37" s="1"/>
  <c r="B1471" i="37"/>
  <c r="B1472" i="37"/>
  <c r="C1472" i="37"/>
  <c r="H1472" i="37" s="1"/>
  <c r="B1473" i="37"/>
  <c r="C1473" i="37"/>
  <c r="G1473" i="37" s="1"/>
  <c r="B1474" i="37"/>
  <c r="C1474" i="37"/>
  <c r="B1475" i="37"/>
  <c r="C1475" i="37"/>
  <c r="B1476" i="37"/>
  <c r="G1476" i="37" s="1"/>
  <c r="C1476" i="37"/>
  <c r="H1476" i="37" s="1"/>
  <c r="B1477" i="37"/>
  <c r="C1477" i="37"/>
  <c r="G1477" i="37"/>
  <c r="B1478" i="37"/>
  <c r="C1478" i="37"/>
  <c r="B1479" i="37"/>
  <c r="C1479" i="37"/>
  <c r="B1480" i="37"/>
  <c r="B1481" i="37"/>
  <c r="C1481" i="37"/>
  <c r="G1481" i="37"/>
  <c r="B1482" i="37"/>
  <c r="C1482" i="37"/>
  <c r="B1483" i="37"/>
  <c r="C1483" i="37"/>
  <c r="B1484" i="37"/>
  <c r="C1484" i="37"/>
  <c r="H1484" i="37" s="1"/>
  <c r="B1485" i="37"/>
  <c r="C1485" i="37"/>
  <c r="G1485" i="37"/>
  <c r="B1486" i="37"/>
  <c r="B1487" i="37"/>
  <c r="C1487" i="37"/>
  <c r="B1488" i="37"/>
  <c r="B1489" i="37"/>
  <c r="C1489" i="37"/>
  <c r="G1489" i="37" s="1"/>
  <c r="B1490" i="37"/>
  <c r="C1490" i="37"/>
  <c r="B1491" i="37"/>
  <c r="C1491" i="37"/>
  <c r="H1491" i="37" s="1"/>
  <c r="B1492" i="37"/>
  <c r="G1492" i="37" s="1"/>
  <c r="C1492" i="37"/>
  <c r="H1492" i="37" s="1"/>
  <c r="B1493" i="37"/>
  <c r="C1493" i="37"/>
  <c r="H1493" i="37" s="1"/>
  <c r="B1494" i="37"/>
  <c r="C1494" i="37"/>
  <c r="B1495" i="37"/>
  <c r="C1495" i="37"/>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G1509" i="37" s="1"/>
  <c r="C1509" i="37"/>
  <c r="B1510" i="37"/>
  <c r="B1511" i="37"/>
  <c r="B1512" i="37"/>
  <c r="C1512" i="37"/>
  <c r="H1512" i="37" s="1"/>
  <c r="B1513" i="37"/>
  <c r="C1513" i="37"/>
  <c r="G1513" i="37" s="1"/>
  <c r="B1514" i="37"/>
  <c r="C1514" i="37"/>
  <c r="B1515" i="37"/>
  <c r="G1515" i="37" s="1"/>
  <c r="C1515" i="37"/>
  <c r="B1516" i="37"/>
  <c r="B1517" i="37"/>
  <c r="C1517" i="37"/>
  <c r="B1518" i="37"/>
  <c r="C1518" i="37"/>
  <c r="B1519" i="37"/>
  <c r="G1519" i="37" s="1"/>
  <c r="C1519" i="37"/>
  <c r="B1520" i="37"/>
  <c r="C1520" i="37"/>
  <c r="H1520" i="37" s="1"/>
  <c r="B1521" i="37"/>
  <c r="B1522" i="37"/>
  <c r="C1522" i="37"/>
  <c r="G1522" i="37" s="1"/>
  <c r="B1523" i="37"/>
  <c r="C1523" i="37"/>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B1538" i="37"/>
  <c r="C1538" i="37"/>
  <c r="B1539" i="37"/>
  <c r="G1539" i="37" s="1"/>
  <c r="C1539" i="37"/>
  <c r="B1540" i="37"/>
  <c r="G1540" i="37" s="1"/>
  <c r="C1540" i="37"/>
  <c r="H1540" i="37" s="1"/>
  <c r="B1541" i="37"/>
  <c r="B1542" i="37"/>
  <c r="C1542" i="37"/>
  <c r="G1542" i="37" s="1"/>
  <c r="B1543" i="37"/>
  <c r="C1543" i="37"/>
  <c r="B1544" i="37"/>
  <c r="C1544" i="37"/>
  <c r="H1544" i="37" s="1"/>
  <c r="B1545" i="37"/>
  <c r="G1545" i="37" s="1"/>
  <c r="C1545" i="37"/>
  <c r="B1546" i="37"/>
  <c r="B1547" i="37"/>
  <c r="C1547" i="37"/>
  <c r="H1547" i="37" s="1"/>
  <c r="B1548" i="37"/>
  <c r="C1548" i="37"/>
  <c r="H1548" i="37" s="1"/>
  <c r="B1549" i="37"/>
  <c r="C1549" i="37"/>
  <c r="H1549" i="37" s="1"/>
  <c r="B1550" i="37"/>
  <c r="C1550" i="37"/>
  <c r="B1551" i="37"/>
  <c r="B1552" i="37"/>
  <c r="C1552" i="37"/>
  <c r="H1552" i="37" s="1"/>
  <c r="B1553" i="37"/>
  <c r="C1553" i="37"/>
  <c r="B1554" i="37"/>
  <c r="C1554" i="37"/>
  <c r="B1555" i="37"/>
  <c r="G1555" i="37" s="1"/>
  <c r="C1555" i="37"/>
  <c r="B1556" i="37"/>
  <c r="G1556" i="37" s="1"/>
  <c r="C1556" i="37"/>
  <c r="H1556" i="37" s="1"/>
  <c r="B1557" i="37"/>
  <c r="B1558" i="37"/>
  <c r="C1558" i="37"/>
  <c r="B1559" i="37"/>
  <c r="C1559" i="37"/>
  <c r="B1560" i="37"/>
  <c r="C1560" i="37"/>
  <c r="H1560" i="37" s="1"/>
  <c r="B1561" i="37"/>
  <c r="C1561" i="37"/>
  <c r="G1561" i="37"/>
  <c r="Q3" i="3"/>
  <c r="H1561" i="37"/>
  <c r="H1559" i="37"/>
  <c r="H1555" i="37"/>
  <c r="H1553" i="37"/>
  <c r="H1545" i="37"/>
  <c r="H1543" i="37"/>
  <c r="H1539" i="37"/>
  <c r="H1535" i="37"/>
  <c r="H1533" i="37"/>
  <c r="H1529" i="37"/>
  <c r="H1525" i="37"/>
  <c r="H1523" i="37"/>
  <c r="H1519" i="37"/>
  <c r="H1515" i="37"/>
  <c r="H1513" i="37"/>
  <c r="H1509" i="37"/>
  <c r="H1507" i="37"/>
  <c r="H1501" i="37"/>
  <c r="H1499" i="37"/>
  <c r="H1495" i="37"/>
  <c r="H1487" i="37"/>
  <c r="H1485" i="37"/>
  <c r="H1483" i="37"/>
  <c r="H1481" i="37"/>
  <c r="H1479" i="37"/>
  <c r="H1477" i="37"/>
  <c r="H1475" i="37"/>
  <c r="H1473" i="37"/>
  <c r="H1467" i="37"/>
  <c r="H1465" i="37"/>
  <c r="H1447" i="37"/>
  <c r="H1445" i="37"/>
  <c r="H1444" i="37"/>
  <c r="H1443" i="37"/>
  <c r="H1440" i="37"/>
  <c r="H1439" i="37"/>
  <c r="H1438" i="37"/>
  <c r="H1437" i="37"/>
  <c r="H1436" i="37"/>
  <c r="H1435" i="37"/>
  <c r="H1434" i="37"/>
  <c r="H1432" i="37"/>
  <c r="I1432" i="37"/>
  <c r="H1431" i="37"/>
  <c r="H1430" i="37"/>
  <c r="I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B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B28" i="3" s="1"/>
  <c r="G29" i="3"/>
  <c r="E29" i="3" s="1"/>
  <c r="B29" i="3" s="1"/>
  <c r="H29" i="3"/>
  <c r="G31" i="3"/>
  <c r="E31" i="3" s="1"/>
  <c r="H31" i="3"/>
  <c r="G32" i="3"/>
  <c r="H32" i="3"/>
  <c r="G33" i="3"/>
  <c r="H33" i="3"/>
  <c r="G34" i="3"/>
  <c r="H34" i="3"/>
  <c r="E34" i="3" s="1"/>
  <c r="B34" i="3" s="1"/>
  <c r="G35" i="3"/>
  <c r="E35" i="3" s="1"/>
  <c r="H35" i="3"/>
  <c r="G36" i="3"/>
  <c r="H36" i="3"/>
  <c r="G37" i="3"/>
  <c r="H37" i="3"/>
  <c r="E37" i="3"/>
  <c r="B37" i="3" s="1"/>
  <c r="G38" i="3"/>
  <c r="E38" i="3" s="1"/>
  <c r="B38" i="3" s="1"/>
  <c r="H38" i="3"/>
  <c r="G39" i="3"/>
  <c r="E39" i="3" s="1"/>
  <c r="H39" i="3"/>
  <c r="G40" i="3"/>
  <c r="H40" i="3"/>
  <c r="G41" i="3"/>
  <c r="H41" i="3"/>
  <c r="G42" i="3"/>
  <c r="H42" i="3"/>
  <c r="G43" i="3"/>
  <c r="E43" i="3" s="1"/>
  <c r="H43" i="3"/>
  <c r="G44" i="3"/>
  <c r="H44" i="3"/>
  <c r="G45" i="3"/>
  <c r="H45" i="3"/>
  <c r="E45" i="3" s="1"/>
  <c r="B45" i="3" s="1"/>
  <c r="G46" i="3"/>
  <c r="E46" i="3" s="1"/>
  <c r="B46" i="3" s="1"/>
  <c r="H46" i="3"/>
  <c r="G47" i="3"/>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B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B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B164" i="3" s="1"/>
  <c r="G166" i="3"/>
  <c r="E166" i="3" s="1"/>
  <c r="B166" i="3" s="1"/>
  <c r="G212" i="3"/>
  <c r="H212" i="3"/>
  <c r="G260" i="3"/>
  <c r="H260" i="3"/>
  <c r="G263" i="3"/>
  <c r="H263" i="3"/>
  <c r="G264" i="3"/>
  <c r="E264" i="3" s="1"/>
  <c r="B264" i="3" s="1"/>
  <c r="H264" i="3"/>
  <c r="G265" i="3"/>
  <c r="H265" i="3"/>
  <c r="E265" i="3" s="1"/>
  <c r="B265" i="3" s="1"/>
  <c r="G268" i="3"/>
  <c r="H268" i="3"/>
  <c r="E268" i="3"/>
  <c r="B268" i="3" s="1"/>
  <c r="G269" i="3"/>
  <c r="E269" i="3" s="1"/>
  <c r="B269" i="3" s="1"/>
  <c r="H269" i="3"/>
  <c r="G270" i="3"/>
  <c r="E270" i="3" s="1"/>
  <c r="B270" i="3" s="1"/>
  <c r="H270" i="3"/>
  <c r="G271" i="3"/>
  <c r="H271" i="3"/>
  <c r="G272" i="3"/>
  <c r="E272" i="3" s="1"/>
  <c r="B272" i="3" s="1"/>
  <c r="H272" i="3"/>
  <c r="G273" i="3"/>
  <c r="H273" i="3"/>
  <c r="E273" i="3" s="1"/>
  <c r="B273" i="3" s="1"/>
  <c r="G274" i="3"/>
  <c r="E274" i="3" s="1"/>
  <c r="H274" i="3"/>
  <c r="G275" i="3"/>
  <c r="E275" i="3" s="1"/>
  <c r="B275" i="3" s="1"/>
  <c r="H275" i="3"/>
  <c r="G276" i="3"/>
  <c r="H276" i="3"/>
  <c r="E276" i="3"/>
  <c r="G277" i="3"/>
  <c r="E277" i="3" s="1"/>
  <c r="B277" i="3" s="1"/>
  <c r="H277" i="3"/>
  <c r="G278" i="3"/>
  <c r="E278" i="3" s="1"/>
  <c r="B278" i="3" s="1"/>
  <c r="G279" i="3"/>
  <c r="E279" i="3" s="1"/>
  <c r="B279" i="3" s="1"/>
  <c r="H279" i="3"/>
  <c r="G280" i="3"/>
  <c r="E280" i="3" s="1"/>
  <c r="B280" i="3" s="1"/>
  <c r="H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B285" i="3" s="1"/>
  <c r="F284" i="3"/>
  <c r="F283" i="3"/>
  <c r="F282" i="3"/>
  <c r="F281" i="3"/>
  <c r="F280" i="3"/>
  <c r="F279" i="3"/>
  <c r="F278" i="3"/>
  <c r="F277" i="3"/>
  <c r="F276" i="3"/>
  <c r="F275" i="3"/>
  <c r="F274" i="3"/>
  <c r="B274" i="3"/>
  <c r="F273" i="3"/>
  <c r="F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F255" i="3" s="1"/>
  <c r="B255" i="3" s="1"/>
  <c r="M255" i="3"/>
  <c r="L254" i="3"/>
  <c r="F254" i="3" s="1"/>
  <c r="B254" i="3" s="1"/>
  <c r="M254" i="3"/>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F231" i="3" s="1"/>
  <c r="B231" i="3" s="1"/>
  <c r="M231" i="3"/>
  <c r="L230" i="3"/>
  <c r="F230" i="3" s="1"/>
  <c r="B230" i="3" s="1"/>
  <c r="M230" i="3"/>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M219" i="3"/>
  <c r="F219" i="3"/>
  <c r="B219" i="3" s="1"/>
  <c r="L218" i="3"/>
  <c r="F218" i="3" s="1"/>
  <c r="B218" i="3" s="1"/>
  <c r="M218" i="3"/>
  <c r="L217" i="3"/>
  <c r="F217" i="3" s="1"/>
  <c r="B217" i="3" s="1"/>
  <c r="M217" i="3"/>
  <c r="L216" i="3"/>
  <c r="F216" i="3" s="1"/>
  <c r="B216" i="3" s="1"/>
  <c r="M216" i="3"/>
  <c r="L215" i="3"/>
  <c r="F215" i="3" s="1"/>
  <c r="B215" i="3" s="1"/>
  <c r="M215" i="3"/>
  <c r="L214" i="3"/>
  <c r="M214" i="3"/>
  <c r="F214" i="3" s="1"/>
  <c r="B214" i="3" s="1"/>
  <c r="L213" i="3"/>
  <c r="F213" i="3" s="1"/>
  <c r="B213" i="3" s="1"/>
  <c r="M213" i="3"/>
  <c r="F212" i="3"/>
  <c r="L210" i="3"/>
  <c r="M210" i="3"/>
  <c r="F210" i="3"/>
  <c r="B210" i="3" s="1"/>
  <c r="L209" i="3"/>
  <c r="F209" i="3" s="1"/>
  <c r="B209" i="3" s="1"/>
  <c r="L208" i="3"/>
  <c r="F208" i="3" s="1"/>
  <c r="B208" i="3" s="1"/>
  <c r="L207" i="3"/>
  <c r="F207" i="3" s="1"/>
  <c r="B207" i="3" s="1"/>
  <c r="M207" i="3"/>
  <c r="L206" i="3"/>
  <c r="M206" i="3"/>
  <c r="L205" i="3"/>
  <c r="F205" i="3" s="1"/>
  <c r="B205" i="3" s="1"/>
  <c r="M205" i="3"/>
  <c r="L204" i="3"/>
  <c r="M204" i="3"/>
  <c r="F204" i="3" s="1"/>
  <c r="B204" i="3" s="1"/>
  <c r="L203" i="3"/>
  <c r="F203" i="3" s="1"/>
  <c r="B203" i="3" s="1"/>
  <c r="M203" i="3"/>
  <c r="L202" i="3"/>
  <c r="F202" i="3" s="1"/>
  <c r="B202" i="3" s="1"/>
  <c r="M202" i="3"/>
  <c r="L201" i="3"/>
  <c r="F201" i="3" s="1"/>
  <c r="B201" i="3" s="1"/>
  <c r="M201" i="3"/>
  <c r="L200" i="3"/>
  <c r="M200" i="3"/>
  <c r="F200" i="3" s="1"/>
  <c r="B200" i="3" s="1"/>
  <c r="L199" i="3"/>
  <c r="M199" i="3"/>
  <c r="B151" i="3"/>
  <c r="B143" i="3"/>
  <c r="B136" i="3"/>
  <c r="B135" i="3"/>
  <c r="B131" i="3"/>
  <c r="B128" i="3"/>
  <c r="B123" i="3"/>
  <c r="B120" i="3"/>
  <c r="B115" i="3"/>
  <c r="B112" i="3"/>
  <c r="B107" i="3"/>
  <c r="B104" i="3"/>
  <c r="B103" i="3"/>
  <c r="B99" i="3"/>
  <c r="B96" i="3"/>
  <c r="B91" i="3"/>
  <c r="B88" i="3"/>
  <c r="B87" i="3"/>
  <c r="B83" i="3"/>
  <c r="B79" i="3"/>
  <c r="B75" i="3"/>
  <c r="B71" i="3"/>
  <c r="B67" i="3"/>
  <c r="B63" i="3"/>
  <c r="B59" i="3"/>
  <c r="B55" i="3"/>
  <c r="B51" i="3"/>
  <c r="B43" i="3"/>
  <c r="B39" i="3"/>
  <c r="B35" i="3"/>
  <c r="B31" i="3"/>
  <c r="L7" i="3"/>
  <c r="F7" i="3"/>
  <c r="F4" i="3" s="1"/>
  <c r="F261" i="3"/>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518" i="1"/>
  <c r="C506" i="37" s="1"/>
  <c r="D14" i="1"/>
  <c r="D23" i="1"/>
  <c r="D13" i="1" s="1"/>
  <c r="C3" i="37" s="1"/>
  <c r="D29" i="1"/>
  <c r="C19" i="37" s="1"/>
  <c r="D35" i="1"/>
  <c r="C25" i="37" s="1"/>
  <c r="D43" i="1"/>
  <c r="C33" i="37" s="1"/>
  <c r="D46" i="1"/>
  <c r="C36" i="37" s="1"/>
  <c r="D51" i="1"/>
  <c r="C41" i="37" s="1"/>
  <c r="H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D421" i="1"/>
  <c r="C410" i="37" s="1"/>
  <c r="F421" i="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F46" i="36"/>
  <c r="F50" i="36"/>
  <c r="F114" i="36"/>
  <c r="F43" i="36"/>
  <c r="F13" i="36"/>
  <c r="F29" i="36"/>
  <c r="F73" i="36"/>
  <c r="F97" i="36"/>
  <c r="E30" i="3" l="1"/>
  <c r="B30" i="3" s="1"/>
  <c r="G1560" i="37"/>
  <c r="G1559" i="37"/>
  <c r="G1496" i="37"/>
  <c r="G1495" i="37"/>
  <c r="H1489" i="37"/>
  <c r="G1472" i="37"/>
  <c r="G1224" i="37"/>
  <c r="B263" i="3"/>
  <c r="E263" i="3"/>
  <c r="G1209" i="37"/>
  <c r="E175" i="27"/>
  <c r="H284" i="3" s="1"/>
  <c r="H1142" i="37"/>
  <c r="G1125" i="37"/>
  <c r="G1025" i="37"/>
  <c r="H1008" i="37"/>
  <c r="G1007" i="37"/>
  <c r="H693" i="37"/>
  <c r="F199" i="3"/>
  <c r="H639" i="37"/>
  <c r="E47" i="3"/>
  <c r="B47" i="3" s="1"/>
  <c r="F206" i="3"/>
  <c r="B206" i="3" s="1"/>
  <c r="G166" i="37"/>
  <c r="G164" i="37"/>
  <c r="E41" i="3"/>
  <c r="B41" i="3" s="1"/>
  <c r="G163" i="37"/>
  <c r="G159" i="37"/>
  <c r="E141" i="1"/>
  <c r="D131" i="37" s="1"/>
  <c r="F135" i="1"/>
  <c r="G65" i="37"/>
  <c r="H64" i="37"/>
  <c r="E33" i="3"/>
  <c r="B33" i="3" s="1"/>
  <c r="G1391" i="37"/>
  <c r="G695" i="37"/>
  <c r="G694" i="37"/>
  <c r="G690" i="37"/>
  <c r="G666" i="37"/>
  <c r="G646" i="37"/>
  <c r="E260" i="3"/>
  <c r="G285" i="37"/>
  <c r="G193" i="37"/>
  <c r="G189" i="37"/>
  <c r="G188" i="37"/>
  <c r="G183" i="37"/>
  <c r="G182" i="37"/>
  <c r="E42" i="3"/>
  <c r="B42" i="3" s="1"/>
  <c r="G179" i="37"/>
  <c r="G178" i="37"/>
  <c r="G172" i="37"/>
  <c r="G168" i="37"/>
  <c r="G148" i="37"/>
  <c r="F138" i="1"/>
  <c r="G1150" i="37"/>
  <c r="G1146" i="37"/>
  <c r="G1026" i="37"/>
  <c r="G1008" i="37"/>
  <c r="G982" i="37"/>
  <c r="G981" i="37"/>
  <c r="K20" i="37"/>
  <c r="L296" i="3"/>
  <c r="F296" i="3" s="1"/>
  <c r="F292" i="3"/>
  <c r="B276" i="3"/>
  <c r="F96" i="36"/>
  <c r="B7" i="1"/>
  <c r="F68" i="36"/>
  <c r="F125" i="36"/>
  <c r="F35" i="1"/>
  <c r="F109" i="1"/>
  <c r="F130" i="1"/>
  <c r="F148" i="1"/>
  <c r="F224" i="1"/>
  <c r="F505" i="1"/>
  <c r="F635" i="1"/>
  <c r="H328" i="37"/>
  <c r="H304" i="37"/>
  <c r="D147" i="1"/>
  <c r="H19" i="37"/>
  <c r="D424" i="1"/>
  <c r="D18" i="27"/>
  <c r="C983" i="37" s="1"/>
  <c r="F58" i="27"/>
  <c r="D75" i="27"/>
  <c r="C1040" i="37" s="1"/>
  <c r="D92" i="27"/>
  <c r="C1057" i="37" s="1"/>
  <c r="D139" i="27"/>
  <c r="C1104" i="37" s="1"/>
  <c r="D151" i="27"/>
  <c r="F151" i="27" s="1"/>
  <c r="F154" i="27"/>
  <c r="F188" i="27"/>
  <c r="F236" i="27"/>
  <c r="F247" i="27"/>
  <c r="D254" i="27"/>
  <c r="C1219" i="37" s="1"/>
  <c r="H1295" i="37"/>
  <c r="D13" i="30"/>
  <c r="C1469" i="37" s="1"/>
  <c r="H1469" i="37" s="1"/>
  <c r="G1557" i="37"/>
  <c r="G1553" i="37"/>
  <c r="G1537" i="37"/>
  <c r="H1537" i="37"/>
  <c r="G1517" i="37"/>
  <c r="H1517" i="37"/>
  <c r="G1497" i="37"/>
  <c r="G1493" i="37"/>
  <c r="I1437" i="37"/>
  <c r="D42" i="36"/>
  <c r="I1431" i="37"/>
  <c r="I1427" i="37"/>
  <c r="G1389" i="37"/>
  <c r="F80" i="1"/>
  <c r="F320" i="1"/>
  <c r="F381" i="1"/>
  <c r="F400" i="1"/>
  <c r="F420" i="1"/>
  <c r="F445" i="1"/>
  <c r="F476" i="1"/>
  <c r="F493" i="1"/>
  <c r="E314" i="1"/>
  <c r="D303" i="37" s="1"/>
  <c r="E532" i="1"/>
  <c r="D520" i="37" s="1"/>
  <c r="D647" i="1"/>
  <c r="C635" i="37" s="1"/>
  <c r="D302" i="1"/>
  <c r="G179" i="3"/>
  <c r="E179" i="3" s="1"/>
  <c r="B179" i="3" s="1"/>
  <c r="D462" i="1"/>
  <c r="H162" i="37"/>
  <c r="E92" i="27"/>
  <c r="D1058" i="37"/>
  <c r="D13" i="33"/>
  <c r="C1425" i="37" s="1"/>
  <c r="D30" i="30"/>
  <c r="C1486" i="37" s="1"/>
  <c r="G1486" i="37" s="1"/>
  <c r="K55" i="42"/>
  <c r="F101" i="36"/>
  <c r="F68" i="1"/>
  <c r="F167" i="1"/>
  <c r="F185" i="1"/>
  <c r="F218" i="1"/>
  <c r="F277" i="1"/>
  <c r="F290" i="1"/>
  <c r="F303" i="1"/>
  <c r="F342" i="1"/>
  <c r="F433" i="1"/>
  <c r="F593" i="1"/>
  <c r="F615"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H1357" i="37"/>
  <c r="I14" i="3"/>
  <c r="I1439" i="37"/>
  <c r="I1435" i="37"/>
  <c r="I1428" i="37"/>
  <c r="G1549" i="37"/>
  <c r="I1440" i="37"/>
  <c r="I1436" i="37"/>
  <c r="I1429" i="37"/>
  <c r="G1552" i="37"/>
  <c r="G1548" i="37"/>
  <c r="G1544" i="37"/>
  <c r="G1512" i="37"/>
  <c r="G1498" i="37"/>
  <c r="G1494" i="37"/>
  <c r="G1491"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07" i="37"/>
  <c r="G1075" i="37"/>
  <c r="G1071" i="37"/>
  <c r="G1067" i="37"/>
  <c r="G1063" i="37"/>
  <c r="G1059" i="37"/>
  <c r="G1054" i="37"/>
  <c r="G1046" i="37"/>
  <c r="G1042" i="37"/>
  <c r="G1021" i="37"/>
  <c r="G1017" i="37"/>
  <c r="G969" i="37"/>
  <c r="G965" i="37"/>
  <c r="G961" i="37"/>
  <c r="G957" i="37"/>
  <c r="G953" i="37"/>
  <c r="G949" i="37"/>
  <c r="G945" i="37"/>
  <c r="G941" i="37"/>
  <c r="G937" i="37"/>
  <c r="G933" i="37"/>
  <c r="G929" i="37"/>
  <c r="G925" i="37"/>
  <c r="G921" i="37"/>
  <c r="G917" i="37"/>
  <c r="G913" i="37"/>
  <c r="G909" i="37"/>
  <c r="G905" i="37"/>
  <c r="G901" i="37"/>
  <c r="G1490" i="37"/>
  <c r="G1487" i="37"/>
  <c r="G1483" i="37"/>
  <c r="G1479" i="37"/>
  <c r="I1444" i="37"/>
  <c r="G1289" i="37"/>
  <c r="G1226" i="37"/>
  <c r="G1222" i="37"/>
  <c r="G1205" i="37"/>
  <c r="G1203" i="37"/>
  <c r="G1197" i="37"/>
  <c r="G1195" i="37"/>
  <c r="G1191" i="37"/>
  <c r="G1187" i="37"/>
  <c r="G1165" i="37"/>
  <c r="G1161" i="37"/>
  <c r="G1159" i="37"/>
  <c r="G1141" i="37"/>
  <c r="G1130" i="37"/>
  <c r="G1108" i="37"/>
  <c r="G1072" i="37"/>
  <c r="G1068" i="37"/>
  <c r="G1064" i="37"/>
  <c r="G1060" i="37"/>
  <c r="G1055" i="37"/>
  <c r="G1051" i="37"/>
  <c r="G1047" i="37"/>
  <c r="G1043" i="37"/>
  <c r="G1022" i="37"/>
  <c r="G1018" i="37"/>
  <c r="G997" i="37"/>
  <c r="G993" i="37"/>
  <c r="G970" i="37"/>
  <c r="G966" i="37"/>
  <c r="G962" i="37"/>
  <c r="G958" i="37"/>
  <c r="G954" i="37"/>
  <c r="G950" i="37"/>
  <c r="G946" i="37"/>
  <c r="G942" i="37"/>
  <c r="G938" i="37"/>
  <c r="G934" i="37"/>
  <c r="G930" i="37"/>
  <c r="G926" i="37"/>
  <c r="G922" i="37"/>
  <c r="G918" i="37"/>
  <c r="G914" i="37"/>
  <c r="G910" i="37"/>
  <c r="G906" i="37"/>
  <c r="G902" i="37"/>
  <c r="G1558" i="37"/>
  <c r="G1554" i="37"/>
  <c r="G1550" i="37"/>
  <c r="G1547" i="37"/>
  <c r="G1543" i="37"/>
  <c r="G1538" i="37"/>
  <c r="G1534" i="37"/>
  <c r="G1530" i="37"/>
  <c r="G1527" i="37"/>
  <c r="G1523"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1474" i="37"/>
  <c r="G1331" i="37"/>
  <c r="G1327" i="37"/>
  <c r="G1316" i="37"/>
  <c r="G1312" i="37"/>
  <c r="G798" i="37"/>
  <c r="G794" i="37"/>
  <c r="G790" i="37"/>
  <c r="G786" i="37"/>
  <c r="G782" i="37"/>
  <c r="G778" i="37"/>
  <c r="G774" i="37"/>
  <c r="G770" i="37"/>
  <c r="G766" i="37"/>
  <c r="G762" i="37"/>
  <c r="G758" i="37"/>
  <c r="G754" i="37"/>
  <c r="G750" i="37"/>
  <c r="G746" i="37"/>
  <c r="G742" i="37"/>
  <c r="G738" i="37"/>
  <c r="G734" i="37"/>
  <c r="G730" i="37"/>
  <c r="G726" i="37"/>
  <c r="G739" i="37"/>
  <c r="G735" i="37"/>
  <c r="G731" i="37"/>
  <c r="G727" i="37"/>
  <c r="G723" i="37"/>
  <c r="G539" i="37"/>
  <c r="G535" i="37"/>
  <c r="G489" i="37"/>
  <c r="G473" i="37"/>
  <c r="G595" i="37"/>
  <c r="G544" i="37"/>
  <c r="G540" i="37"/>
  <c r="G536" i="37"/>
  <c r="G490" i="37"/>
  <c r="G480" i="37"/>
  <c r="G474" i="37"/>
  <c r="G456" i="37"/>
  <c r="G435" i="37"/>
  <c r="G422" i="37"/>
  <c r="G414" i="37"/>
  <c r="G398" i="37"/>
  <c r="G563" i="37"/>
  <c r="G545" i="37"/>
  <c r="G537" i="37"/>
  <c r="G523" i="37"/>
  <c r="G505" i="37"/>
  <c r="G501" i="37"/>
  <c r="G491" i="37"/>
  <c r="G487" i="37"/>
  <c r="G477" i="37"/>
  <c r="G467" i="37"/>
  <c r="G461" i="37"/>
  <c r="G444" i="37"/>
  <c r="G440" i="37"/>
  <c r="G436" i="37"/>
  <c r="G423" i="37"/>
  <c r="G415" i="37"/>
  <c r="G395" i="37"/>
  <c r="G582"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42" i="37"/>
  <c r="G38" i="37"/>
  <c r="G30" i="37"/>
  <c r="G26" i="37"/>
  <c r="G17" i="37"/>
  <c r="G11" i="37"/>
  <c r="G7"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12" i="37"/>
  <c r="G8"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G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H1486" i="37" l="1"/>
  <c r="G1469" i="37"/>
  <c r="G1040" i="37"/>
  <c r="F18" i="27"/>
  <c r="F204" i="1"/>
  <c r="F160" i="1"/>
  <c r="F141" i="1"/>
  <c r="F134" i="1"/>
  <c r="G24" i="3"/>
  <c r="H24" i="3"/>
  <c r="E24" i="3" s="1"/>
  <c r="B24" i="3" s="1"/>
  <c r="G132" i="37"/>
  <c r="H1040" i="37"/>
  <c r="F75" i="27"/>
  <c r="G983" i="37"/>
  <c r="D13" i="27"/>
  <c r="C978" i="37" s="1"/>
  <c r="H1104" i="37"/>
  <c r="C291" i="37"/>
  <c r="F302" i="1"/>
  <c r="C137" i="37"/>
  <c r="F147" i="1"/>
  <c r="I1450" i="37"/>
  <c r="I1460" i="37"/>
  <c r="E531" i="1"/>
  <c r="E163" i="3"/>
  <c r="B163" i="3" s="1"/>
  <c r="C412" i="37"/>
  <c r="F424" i="1"/>
  <c r="I1448" i="37"/>
  <c r="I1455" i="37"/>
  <c r="I1464" i="37"/>
  <c r="G1049" i="37"/>
  <c r="H635" i="37"/>
  <c r="C1317" i="37"/>
  <c r="F42"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150" i="37" l="1"/>
  <c r="J43" i="42"/>
  <c r="F13" i="27"/>
  <c r="G137" i="37"/>
  <c r="H137" i="37"/>
  <c r="H1317" i="37"/>
  <c r="G131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l="1"/>
  <c r="E157" i="3" s="1"/>
  <c r="B157" i="3" s="1"/>
  <c r="J3" i="3"/>
  <c r="L2" i="37"/>
  <c r="K2" i="37"/>
  <c r="G637" i="37"/>
  <c r="H637" i="37"/>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<sst xmlns="http://schemas.openxmlformats.org/spreadsheetml/2006/main" count="4757" uniqueCount="4301">
  <si>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</si>
  <si>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</si>
  <si>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</si>
  <si>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</si>
  <si>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</si>
  <si>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</si>
  <si>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</si>
  <si>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</si>
  <si>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</si>
  <si>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</si>
  <si>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</si>
  <si>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</si>
  <si>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</si>
  <si>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</si>
  <si>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</si>
  <si>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</si>
  <si>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</si>
  <si>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</si>
  <si>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</si>
  <si>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</si>
  <si>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</si>
  <si>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</si>
  <si>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</si>
  <si>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</si>
  <si>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</si>
  <si>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</si>
  <si>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</si>
  <si>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</si>
  <si>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</si>
  <si>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</si>
  <si>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</si>
  <si>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</si>
  <si>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</si>
  <si>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</si>
  <si>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</si>
  <si>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</si>
  <si>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</si>
  <si>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</si>
  <si>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</si>
  <si>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</si>
  <si>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</si>
  <si>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</si>
  <si>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</si>
  <si>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</si>
  <si>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</si>
  <si>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</si>
  <si>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</si>
  <si>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</si>
  <si>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</si>
  <si>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</si>
  <si>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</si>
  <si>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</si>
  <si>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</si>
  <si>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</si>
  <si>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</si>
  <si>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</si>
  <si>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</si>
  <si>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</si>
  <si>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</si>
  <si>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</si>
  <si>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</si>
  <si>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</si>
  <si>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</si>
  <si>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</si>
  <si>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</si>
  <si>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</si>
  <si>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</si>
  <si>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</si>
  <si>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</si>
  <si>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</si>
  <si>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</si>
  <si>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</si>
  <si>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</si>
  <si>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</si>
  <si>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</si>
  <si>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</si>
  <si>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</si>
  <si>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</si>
  <si>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</si>
  <si>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</si>
  <si>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</si>
  <si>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</si>
  <si>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</si>
  <si>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</si>
  <si>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</si>
  <si>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</si>
  <si>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</si>
  <si>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</si>
  <si>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</si>
  <si>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</si>
  <si>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</si>
  <si>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</si>
  <si>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</si>
  <si>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</si>
  <si>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</si>
  <si>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</si>
  <si>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</si>
  <si>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</si>
  <si>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</si>
  <si>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</si>
  <si>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</si>
  <si>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</si>
  <si>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</si>
  <si>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</si>
  <si>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</si>
  <si>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</si>
  <si>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</si>
  <si>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</si>
  <si>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</si>
  <si>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</si>
  <si>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</si>
  <si>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</si>
  <si>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</si>
  <si>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</si>
  <si>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</si>
  <si>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</si>
  <si>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</si>
  <si>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</si>
  <si>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</si>
  <si>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</si>
  <si>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</si>
  <si>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</si>
  <si>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</si>
  <si>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</si>
  <si>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</si>
  <si>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</si>
  <si>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</si>
  <si>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</si>
  <si>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</si>
  <si>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</si>
  <si>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</si>
  <si>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</si>
  <si>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</si>
  <si>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</si>
  <si>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</si>
  <si>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</si>
  <si>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</si>
  <si>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</si>
  <si>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</si>
  <si>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</si>
  <si>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</si>
  <si>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</si>
  <si>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</si>
  <si>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</si>
  <si>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</si>
  <si>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</si>
  <si>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</si>
  <si>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</si>
  <si>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</si>
  <si>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</si>
  <si>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</si>
  <si>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</si>
  <si>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</si>
  <si>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</si>
  <si>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</si>
  <si>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</si>
  <si>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</si>
  <si>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</si>
  <si>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</si>
  <si>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</si>
  <si>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</si>
  <si>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</si>
  <si>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</si>
  <si>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</si>
  <si>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</si>
  <si>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</si>
  <si>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</si>
  <si>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</si>
  <si>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</si>
  <si>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</si>
  <si>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</si>
  <si>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</si>
  <si>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</si>
  <si>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</si>
  <si>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</si>
  <si>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</si>
  <si>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</si>
  <si>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</si>
  <si>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</si>
  <si>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</si>
  <si>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</si>
  <si>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</si>
  <si>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</si>
  <si>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</si>
  <si>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</si>
  <si>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</si>
  <si>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</si>
  <si>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</si>
  <si>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</si>
  <si>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</si>
  <si>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</si>
  <si>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</si>
  <si>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</si>
  <si>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</si>
  <si>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</si>
  <si>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</si>
  <si>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</si>
  <si>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</si>
  <si>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</si>
  <si>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</si>
  <si>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</si>
  <si>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</si>
  <si>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</si>
  <si>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</si>
  <si>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</si>
  <si>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</si>
  <si>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</si>
  <si>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</si>
  <si>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</si>
  <si>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</si>
  <si>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</si>
  <si>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</si>
  <si>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</si>
  <si>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</si>
  <si>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</si>
  <si>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</si>
  <si>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</si>
  <si>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</si>
  <si>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</si>
  <si>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</si>
  <si>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</si>
  <si>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</si>
  <si>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</si>
  <si>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</si>
  <si>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</si>
  <si>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</si>
  <si>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</si>
  <si>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</si>
  <si>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</si>
  <si>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</si>
  <si>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</si>
  <si>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</si>
  <si>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</si>
  <si>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</si>
  <si>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</si>
  <si>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</si>
  <si>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</si>
  <si>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</si>
  <si>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</si>
  <si>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</si>
  <si>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</si>
  <si>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</si>
  <si>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</si>
  <si>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</si>
  <si>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</si>
  <si>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</si>
  <si>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</si>
  <si>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</si>
  <si>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</si>
  <si>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</si>
  <si>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</si>
  <si>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</si>
  <si>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</si>
  <si>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</si>
  <si>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</si>
  <si>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</si>
  <si>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</si>
  <si>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</si>
  <si>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</si>
  <si>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</si>
  <si>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</si>
  <si>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</si>
  <si>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</si>
  <si>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</si>
  <si>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</si>
  <si>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</si>
  <si>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</si>
  <si>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</si>
  <si>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</si>
  <si>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</si>
  <si>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</si>
  <si>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</si>
  <si>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</si>
  <si>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</si>
  <si>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</si>
  <si>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</si>
  <si>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</si>
  <si>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</si>
  <si>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</si>
  <si>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</si>
  <si>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</si>
  <si>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</si>
  <si>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</si>
  <si>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</si>
  <si>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</si>
  <si>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</si>
  <si>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</si>
  <si>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</si>
  <si>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</si>
  <si>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</si>
  <si>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</si>
  <si>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</si>
  <si>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</si>
  <si>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</si>
  <si>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</si>
  <si>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</si>
  <si>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</si>
  <si>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</si>
  <si>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</si>
  <si>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</si>
  <si>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</si>
  <si>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</si>
  <si>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</si>
  <si>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</si>
  <si>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</si>
  <si>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</si>
  <si>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</si>
  <si>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</si>
  <si>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</si>
  <si>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</si>
  <si>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</si>
  <si>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</si>
  <si>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</si>
  <si>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</si>
  <si>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</si>
  <si>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</si>
  <si>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</si>
  <si>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</si>
  <si>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</si>
  <si>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</si>
  <si>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</si>
  <si>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</si>
  <si>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</si>
  <si>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</si>
  <si>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</si>
  <si>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</si>
  <si>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</si>
  <si>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</si>
  <si>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</si>
  <si>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</si>
  <si>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</si>
  <si>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</si>
  <si>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</si>
  <si>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</si>
  <si>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</si>
  <si>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</si>
  <si>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</si>
  <si>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</si>
  <si>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</si>
  <si>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</si>
  <si>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</si>
  <si>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</si>
  <si>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</si>
  <si>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</si>
  <si>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</si>
  <si>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</si>
  <si>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</si>
  <si>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</si>
  <si>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</si>
  <si>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</si>
  <si>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</si>
  <si>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</si>
  <si>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</si>
  <si>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</si>
  <si>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</si>
  <si>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</si>
  <si>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</si>
  <si>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</si>
  <si>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</si>
  <si>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</si>
  <si>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</si>
  <si>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</si>
  <si>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</si>
  <si>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</si>
  <si>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</si>
  <si>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</si>
  <si>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</si>
  <si>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</si>
  <si>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</si>
  <si>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</si>
  <si>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</si>
  <si>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</si>
  <si>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</si>
  <si>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</si>
  <si>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</si>
  <si>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</si>
  <si>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</si>
  <si>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</si>
  <si>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</si>
  <si>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</si>
  <si>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</si>
  <si>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</si>
  <si>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</si>
  <si>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</si>
  <si>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</si>
  <si>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</si>
  <si>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</si>
  <si>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</si>
  <si>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</si>
  <si>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</si>
  <si>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</si>
  <si>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</si>
  <si>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</si>
  <si>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</si>
  <si>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</si>
  <si>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</si>
  <si>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</si>
  <si>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</si>
  <si>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</si>
  <si>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</si>
  <si>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</si>
  <si>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</si>
  <si>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</si>
  <si>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</si>
  <si>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</si>
  <si>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</si>
  <si>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</si>
  <si>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</si>
  <si>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</si>
  <si>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</si>
  <si>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</si>
  <si>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</si>
  <si>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</si>
  <si>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</si>
  <si>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</si>
  <si>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</si>
  <si>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</si>
  <si>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</si>
  <si>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</si>
  <si>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</si>
  <si>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</si>
  <si>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</si>
  <si>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</si>
  <si>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</si>
  <si>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</si>
  <si>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</si>
  <si>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</si>
  <si>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</si>
  <si>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</si>
  <si>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</si>
  <si>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</si>
  <si>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</si>
  <si>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</si>
  <si>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</si>
  <si>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</si>
  <si>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</si>
  <si>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</si>
  <si>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</si>
  <si>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</si>
  <si>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</si>
  <si>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</si>
  <si>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</si>
  <si>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</si>
  <si>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</si>
  <si>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</si>
  <si>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</si>
  <si>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</si>
  <si>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</si>
  <si>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</si>
  <si>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</si>
  <si>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</si>
  <si>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</si>
  <si>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</si>
  <si>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</si>
  <si>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</si>
  <si>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</si>
  <si>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</si>
  <si>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</si>
  <si>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</si>
  <si>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</si>
  <si>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</si>
  <si>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</si>
  <si>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</si>
  <si>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</si>
  <si>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</si>
  <si>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</si>
  <si>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</si>
  <si>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</si>
  <si>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</si>
  <si>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</si>
  <si>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</si>
  <si>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</si>
  <si>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</si>
  <si>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</si>
  <si>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</si>
  <si>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</si>
  <si>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</si>
  <si>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</si>
  <si>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</si>
  <si>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</si>
  <si>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</si>
  <si>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</si>
  <si>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</si>
  <si>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</si>
  <si>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</si>
  <si>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</si>
  <si>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</si>
  <si>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</si>
  <si>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</si>
  <si>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</si>
  <si>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</si>
  <si>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</si>
  <si>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</si>
  <si>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</si>
  <si>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</si>
  <si>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</si>
  <si>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</si>
  <si>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</si>
  <si>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</si>
  <si>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</si>
  <si>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</si>
  <si>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</si>
  <si>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</si>
  <si>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</si>
  <si>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</si>
  <si>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</si>
  <si>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</si>
  <si>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</si>
  <si>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</si>
  <si>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</si>
  <si>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</si>
  <si>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</si>
  <si>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</si>
  <si>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</si>
  <si>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</si>
  <si>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</si>
  <si>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</si>
  <si>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</si>
  <si>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</si>
  <si>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</si>
  <si>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</si>
  <si>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</si>
  <si>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</si>
  <si>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</si>
  <si>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</si>
  <si>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</si>
  <si>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</si>
  <si>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</si>
  <si>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</si>
  <si>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</si>
  <si>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</si>
  <si>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</si>
  <si>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</si>
  <si>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</si>
  <si>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</si>
  <si>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</si>
  <si>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</si>
  <si>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</si>
  <si>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</si>
  <si>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</si>
  <si>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</si>
  <si>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</si>
  <si>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</si>
  <si>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</si>
  <si>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</si>
  <si>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</si>
  <si>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</si>
  <si>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</si>
  <si>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</si>
  <si>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</si>
  <si>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</si>
  <si>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</si>
  <si>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</si>
  <si>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</si>
  <si>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</si>
  <si>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</si>
  <si>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</si>
  <si>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</si>
  <si>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</si>
  <si>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</si>
  <si>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</si>
  <si>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</si>
  <si>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</si>
  <si>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</si>
  <si>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</si>
  <si>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</si>
  <si>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</si>
  <si>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</si>
  <si>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</si>
  <si>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</si>
  <si>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</si>
  <si>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</si>
  <si>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</si>
  <si>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</si>
  <si>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</si>
  <si>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</si>
  <si>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</si>
  <si>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</si>
  <si>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</si>
  <si>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</si>
  <si>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</si>
  <si>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</si>
  <si>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</si>
  <si>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</si>
  <si>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</si>
  <si>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</si>
  <si>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</si>
  <si>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</si>
  <si>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</si>
  <si>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</si>
  <si>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</si>
  <si>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</si>
  <si>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</si>
  <si>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</si>
  <si>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</si>
  <si>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</si>
  <si>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</si>
  <si>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</si>
  <si>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</si>
  <si>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</si>
  <si>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</si>
  <si>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</si>
  <si>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</si>
  <si>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</si>
  <si>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</si>
  <si>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</si>
  <si>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</si>
  <si>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</si>
  <si>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</si>
  <si>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</si>
  <si>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</si>
  <si>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</si>
  <si>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</si>
  <si>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</si>
  <si>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</si>
  <si>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</si>
  <si>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</si>
  <si>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</si>
  <si>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</si>
  <si>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</si>
  <si>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</si>
  <si>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</si>
  <si>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</si>
  <si>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</si>
  <si>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</si>
  <si>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</si>
  <si>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</si>
  <si>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</si>
  <si>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</si>
  <si>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</si>
  <si>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</si>
  <si>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</si>
  <si>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</si>
  <si>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</si>
  <si>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</si>
  <si>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</si>
  <si>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</si>
  <si>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</si>
  <si>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</si>
  <si>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</si>
  <si>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</si>
  <si>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</si>
  <si>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</si>
  <si>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</si>
  <si>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</si>
  <si>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</si>
  <si>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</si>
  <si>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</si>
  <si>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</si>
  <si>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</si>
  <si>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</si>
  <si>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</si>
  <si>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</si>
  <si>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</si>
  <si>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</si>
  <si>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</si>
  <si>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</si>
  <si>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</si>
  <si>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</si>
  <si>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</si>
  <si>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</si>
  <si>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</si>
  <si>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</si>
  <si>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</si>
  <si>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</si>
  <si>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</si>
  <si>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</si>
  <si>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</si>
  <si>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</si>
  <si>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</si>
  <si>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</si>
  <si>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</si>
  <si>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</si>
  <si>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</si>
  <si>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</si>
  <si>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</si>
  <si>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</si>
  <si>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</si>
  <si>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</si>
  <si>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</si>
  <si>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</si>
  <si>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</si>
  <si>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</si>
  <si>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</si>
  <si>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</si>
  <si>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</si>
  <si>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</si>
  <si>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</si>
  <si>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</si>
  <si>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</si>
  <si>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</si>
  <si>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</si>
  <si>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</si>
  <si>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</si>
  <si>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</si>
  <si>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</si>
  <si>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</si>
  <si>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</si>
  <si>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</si>
  <si>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</si>
  <si>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</si>
  <si>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</si>
  <si>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</si>
  <si>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</si>
  <si>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</si>
  <si>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</si>
  <si>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</si>
  <si>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</si>
  <si>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</si>
  <si>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</si>
  <si>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</si>
  <si>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</si>
  <si>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</si>
  <si>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</si>
  <si>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</si>
  <si>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</si>
  <si>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</si>
  <si>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</si>
  <si>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</si>
  <si>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</si>
  <si>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</si>
  <si>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</si>
  <si>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</si>
  <si>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</si>
  <si>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</si>
  <si>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</si>
  <si>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</si>
  <si>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</si>
  <si>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</si>
  <si>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</si>
  <si>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</si>
  <si>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</si>
  <si>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</si>
  <si>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</si>
  <si>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</si>
  <si>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</si>
  <si>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</si>
  <si>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</si>
  <si>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</si>
  <si>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</si>
  <si>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</si>
  <si>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</si>
  <si>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</si>
  <si>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</si>
  <si>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</si>
  <si>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</si>
  <si>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</si>
  <si>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</si>
  <si>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</si>
  <si>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</si>
  <si>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</si>
  <si>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</si>
  <si>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</si>
  <si>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</si>
  <si>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</si>
  <si>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</si>
  <si>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</si>
  <si>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</si>
  <si>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</si>
  <si>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</si>
  <si>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</si>
  <si>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</si>
  <si>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</si>
  <si>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</si>
  <si>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</si>
  <si>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</si>
  <si>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</si>
  <si>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</si>
  <si>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</si>
  <si>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</si>
  <si>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</si>
  <si>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</si>
  <si>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</si>
  <si>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</si>
  <si>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</si>
  <si>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</si>
  <si>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</si>
  <si>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</si>
  <si>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</si>
  <si>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</si>
  <si>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</si>
  <si>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</si>
  <si>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</si>
  <si>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</si>
  <si>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</si>
  <si>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</si>
  <si>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</si>
  <si>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</si>
  <si>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</si>
  <si>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</si>
  <si>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</si>
  <si>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</si>
  <si>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</si>
  <si>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</si>
  <si>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</si>
  <si>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</si>
  <si>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</si>
  <si>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</si>
  <si>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</si>
  <si>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</si>
  <si>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</si>
  <si>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</si>
  <si>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</si>
  <si>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</si>
  <si>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</si>
  <si>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</si>
  <si>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</si>
  <si>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</si>
  <si>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</si>
  <si>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</si>
  <si>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</si>
  <si>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</si>
  <si>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</si>
  <si>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</si>
  <si>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</si>
  <si>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</si>
  <si>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</si>
  <si>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</si>
  <si>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</si>
  <si>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</si>
  <si>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</si>
  <si>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</si>
  <si>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</si>
  <si>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</si>
  <si>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</si>
  <si>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</si>
  <si>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</si>
  <si>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</si>
  <si>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</si>
  <si>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</si>
  <si>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</si>
  <si>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</si>
  <si>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</si>
  <si>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</si>
  <si>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</si>
  <si>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</si>
  <si>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</si>
  <si>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</si>
  <si>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</si>
  <si>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</si>
  <si>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</si>
  <si>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</si>
  <si>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</si>
  <si>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</si>
  <si>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</si>
  <si>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</si>
  <si>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</si>
  <si>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</si>
  <si>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</si>
  <si>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</si>
  <si>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</si>
  <si>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</si>
  <si>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</si>
  <si>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</si>
  <si>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</si>
  <si>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</si>
  <si>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</si>
  <si>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</si>
  <si>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</si>
  <si>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</si>
  <si>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</si>
  <si>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</si>
  <si>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</si>
  <si>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</si>
  <si>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</si>
  <si>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</si>
  <si>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</si>
  <si>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</si>
  <si>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</si>
  <si>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</si>
  <si>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</si>
  <si>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</si>
  <si>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</si>
  <si>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</si>
  <si>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</si>
  <si>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</si>
  <si>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</si>
  <si>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</si>
  <si>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</si>
  <si>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</si>
  <si>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</si>
  <si>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</si>
  <si>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</si>
  <si>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</si>
  <si>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</si>
  <si>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</si>
  <si>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</si>
  <si>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</si>
  <si>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</si>
  <si>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</si>
  <si>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</si>
  <si>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</si>
  <si>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</si>
  <si>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</si>
  <si>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</si>
  <si>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</si>
  <si>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</si>
  <si>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</si>
  <si>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</si>
  <si>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</si>
  <si>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</si>
  <si>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</si>
  <si>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</si>
  <si>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</si>
  <si>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</si>
  <si>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</si>
  <si>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</si>
  <si>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</si>
  <si>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</si>
  <si>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</si>
  <si>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</si>
  <si>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</si>
  <si>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</si>
  <si>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</si>
  <si>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</si>
  <si>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</si>
  <si>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</si>
  <si>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</si>
  <si>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</si>
  <si>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</si>
  <si>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</si>
  <si>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</si>
  <si>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</si>
  <si>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</si>
  <si>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</si>
  <si>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</si>
  <si>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</si>
  <si>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</si>
  <si>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</si>
  <si>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</si>
  <si>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</si>
  <si>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</si>
  <si>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</si>
  <si>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</si>
  <si>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</si>
  <si>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</si>
  <si>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</si>
  <si>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</si>
  <si>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</si>
  <si>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</si>
  <si>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</si>
  <si>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</si>
  <si>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</si>
  <si>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</si>
  <si>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</si>
  <si>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</si>
  <si>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</si>
  <si>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</si>
  <si>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</si>
  <si>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</si>
  <si>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</si>
  <si>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</si>
  <si>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</si>
  <si>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</si>
  <si>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</si>
  <si>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</si>
  <si>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</si>
  <si>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</si>
  <si>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</si>
  <si>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</si>
  <si>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</si>
  <si>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</si>
  <si>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</si>
  <si>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</si>
  <si>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</si>
  <si>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</si>
  <si>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</si>
  <si>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</si>
  <si>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</si>
  <si>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</si>
  <si>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</si>
  <si>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</si>
  <si>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</si>
  <si>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</si>
  <si>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</si>
  <si>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</si>
  <si>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</si>
  <si>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</si>
  <si>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</si>
  <si>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</si>
  <si>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</si>
  <si>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</si>
  <si>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</si>
  <si>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</si>
  <si>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</si>
  <si>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</si>
  <si>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</si>
  <si>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</si>
  <si>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</si>
  <si>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</si>
  <si>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</si>
  <si>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</si>
  <si>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</si>
  <si>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</si>
  <si>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</si>
  <si>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</si>
  <si>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</si>
  <si>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</si>
  <si>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</si>
  <si>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</si>
  <si>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</si>
  <si>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</si>
  <si>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</si>
  <si>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</si>
  <si>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</si>
  <si>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</si>
  <si>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</si>
  <si>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</si>
  <si>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</si>
  <si>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</si>
  <si>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</si>
  <si>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</si>
  <si>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</si>
  <si>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</si>
  <si>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</si>
  <si>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</si>
  <si>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</si>
  <si>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</si>
  <si>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</si>
  <si>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</si>
  <si>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</si>
  <si>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</si>
  <si>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</si>
  <si>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</si>
  <si>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</si>
  <si>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</si>
  <si>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</si>
  <si>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</si>
  <si>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</si>
  <si>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</si>
  <si>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</si>
  <si>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</si>
  <si>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</si>
  <si>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</si>
  <si>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</si>
  <si>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</si>
  <si>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</si>
  <si>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</si>
  <si>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</si>
  <si>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</si>
  <si>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</si>
  <si>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</si>
  <si>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</si>
  <si>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</si>
  <si>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</si>
  <si>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</si>
  <si>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</si>
  <si>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</si>
  <si>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</si>
  <si>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</si>
  <si>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</si>
  <si>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</si>
  <si>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</si>
  <si>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</si>
  <si>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</si>
  <si>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</si>
  <si>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</si>
  <si>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</si>
  <si>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</si>
  <si>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</si>
  <si>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</si>
  <si>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</si>
  <si>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</si>
  <si>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</si>
  <si>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</si>
  <si>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</si>
  <si>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</si>
  <si>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</si>
  <si>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</si>
  <si>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</si>
  <si>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</si>
  <si>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</si>
  <si>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</si>
  <si>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</si>
  <si>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</si>
  <si>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</si>
  <si>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</si>
  <si>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</si>
  <si>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</si>
  <si>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</si>
  <si>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</si>
  <si>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</si>
  <si>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</si>
  <si>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</si>
  <si>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</si>
  <si>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</si>
  <si>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</si>
  <si>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</si>
  <si>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</si>
  <si>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</si>
  <si>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</si>
  <si>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</si>
  <si>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</si>
  <si>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</si>
  <si>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</si>
  <si>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</si>
  <si>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</si>
  <si>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</si>
  <si>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</si>
  <si>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</si>
  <si>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</si>
  <si>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</si>
  <si>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</si>
  <si>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</si>
  <si>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</si>
  <si>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</si>
  <si>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</si>
  <si>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</si>
  <si>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</si>
  <si>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</si>
  <si>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</si>
  <si>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</si>
  <si>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</si>
  <si>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</si>
  <si>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</si>
  <si>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</si>
  <si>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</si>
  <si>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</si>
  <si>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</si>
  <si>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</si>
  <si>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</si>
  <si>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</si>
  <si>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</si>
  <si>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</si>
  <si>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</si>
  <si>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</si>
  <si>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</si>
  <si>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</si>
  <si>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</si>
  <si>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</si>
  <si>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</si>
  <si>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</si>
  <si>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</si>
  <si>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</si>
  <si>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</si>
  <si>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</si>
  <si>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</si>
  <si>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</si>
  <si>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</si>
  <si>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</si>
  <si>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</si>
  <si>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</si>
  <si>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</si>
  <si>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</si>
  <si>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</si>
  <si>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</si>
  <si>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</si>
  <si>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</si>
  <si>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</si>
  <si>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</si>
  <si>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</si>
  <si>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</si>
  <si>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</si>
  <si>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</si>
  <si>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</si>
  <si>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</si>
  <si>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</si>
  <si>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</si>
  <si>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</si>
  <si>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</si>
  <si>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</si>
  <si>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</si>
  <si>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</si>
  <si>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</si>
  <si>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</si>
  <si>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</si>
  <si>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</si>
  <si>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</si>
  <si>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</si>
  <si>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</si>
  <si>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</si>
  <si>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</si>
  <si>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</si>
  <si>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</si>
  <si>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</si>
  <si>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</si>
  <si>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</si>
  <si>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</si>
  <si>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</si>
  <si>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</si>
  <si>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</si>
  <si>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</si>
  <si>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</si>
  <si>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</si>
  <si>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</si>
  <si>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</si>
  <si>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</si>
  <si>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</si>
  <si>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</si>
  <si>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</si>
  <si>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</si>
  <si>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</si>
  <si>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</si>
  <si>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</si>
  <si>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</si>
  <si>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</si>
  <si>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</si>
  <si>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</si>
  <si>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</si>
  <si>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</si>
  <si>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</si>
  <si>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</si>
  <si>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</si>
  <si>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</si>
  <si>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</si>
  <si>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</si>
  <si>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</si>
  <si>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</si>
  <si>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</si>
  <si>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</si>
  <si>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</si>
  <si>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</si>
  <si>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</si>
  <si>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</si>
  <si>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</si>
  <si>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</si>
  <si>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</si>
  <si>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</si>
  <si>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</si>
  <si>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</si>
  <si>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</si>
  <si>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</si>
  <si>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</si>
  <si>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</si>
  <si>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</si>
  <si>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</si>
  <si>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</si>
  <si>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</si>
  <si>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</si>
  <si>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</si>
  <si>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</si>
  <si>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</si>
  <si>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</si>
  <si>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</si>
  <si>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</si>
  <si>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</si>
  <si>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</si>
  <si>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</si>
  <si>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</si>
  <si>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</si>
  <si>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</si>
  <si>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</si>
  <si>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</si>
  <si>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</si>
  <si>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</si>
  <si>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</si>
  <si>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</si>
  <si>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</si>
  <si>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</si>
  <si>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</si>
  <si>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</si>
  <si>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</si>
  <si>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</si>
  <si>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</si>
  <si>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</si>
  <si>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</si>
  <si>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</si>
  <si>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</si>
  <si>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</si>
  <si>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</si>
  <si>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</si>
  <si>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</si>
  <si>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</si>
  <si>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</si>
  <si>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</si>
  <si>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</si>
  <si>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</si>
  <si>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</si>
  <si>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</si>
  <si>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</si>
  <si>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</si>
  <si>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</si>
  <si>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</si>
  <si>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</si>
  <si>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</si>
  <si>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</si>
  <si>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</si>
  <si>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</si>
  <si>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</si>
  <si>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</si>
  <si>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</si>
  <si>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</si>
  <si>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</si>
  <si>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</si>
  <si>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</si>
  <si>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</si>
  <si>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</si>
  <si>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</si>
  <si>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</si>
  <si>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</si>
  <si>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</si>
  <si>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</si>
  <si>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</si>
  <si>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</si>
  <si>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</si>
  <si>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</si>
  <si>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</si>
  <si>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</si>
  <si>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</si>
  <si>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</si>
  <si>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</si>
  <si>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</si>
  <si>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</si>
  <si>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</si>
  <si>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</si>
  <si>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</si>
  <si>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</si>
  <si>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</si>
  <si>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</si>
  <si>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</si>
  <si>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</si>
  <si>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</si>
  <si>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</si>
  <si>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</si>
  <si>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</si>
  <si>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</si>
  <si>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</si>
  <si>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</si>
  <si>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</si>
  <si>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</si>
  <si>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</si>
  <si>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</si>
  <si>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</si>
  <si>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</si>
  <si>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</si>
  <si>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</si>
  <si>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</si>
  <si>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</si>
  <si>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</si>
  <si>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</si>
  <si>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</si>
  <si>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</si>
  <si>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</si>
  <si>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</si>
  <si>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</si>
  <si>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</si>
  <si>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</si>
  <si>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</si>
  <si>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</si>
  <si>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</si>
  <si>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</si>
  <si>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</si>
  <si>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</si>
  <si>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</si>
  <si>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</si>
  <si>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</si>
  <si>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</si>
  <si>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</si>
  <si>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</si>
  <si>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</si>
  <si>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</si>
  <si>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</si>
  <si>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</si>
  <si>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</si>
  <si>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</si>
  <si>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</si>
  <si>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</si>
  <si>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</si>
  <si>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</si>
  <si>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</si>
  <si>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</si>
  <si>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</si>
  <si>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</si>
  <si>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</si>
  <si>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</si>
  <si>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</si>
  <si>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</si>
  <si>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</si>
  <si>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</si>
  <si>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</si>
  <si>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</si>
  <si>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</si>
  <si>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</si>
  <si>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</si>
  <si>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</si>
  <si>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</si>
  <si>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</si>
  <si>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</si>
  <si>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</si>
  <si>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</si>
  <si>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</si>
  <si>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</si>
  <si>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</si>
  <si>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</si>
  <si>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</si>
  <si>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</si>
  <si>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</si>
  <si>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</si>
  <si>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</si>
  <si>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</si>
  <si>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</si>
  <si>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</si>
  <si>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</si>
  <si>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</si>
  <si>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</si>
  <si>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</si>
  <si>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</si>
  <si>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</si>
  <si>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</si>
  <si>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</si>
  <si>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</si>
  <si>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</si>
  <si>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</si>
  <si>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</si>
  <si>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</si>
  <si>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</si>
  <si>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</si>
  <si>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</si>
  <si>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</si>
  <si>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</si>
  <si>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</si>
  <si>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</si>
  <si>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</si>
  <si>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</si>
  <si>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</si>
  <si>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</si>
  <si>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</si>
  <si>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</si>
  <si>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</si>
  <si>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</si>
  <si>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</si>
  <si>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</si>
  <si>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</si>
  <si>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</si>
  <si>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</si>
  <si>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</si>
  <si>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</si>
  <si>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</si>
  <si>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</si>
  <si>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</si>
  <si>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</si>
  <si>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</si>
  <si>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</si>
  <si>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</si>
  <si>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</si>
  <si>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</si>
  <si>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</si>
  <si>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</si>
  <si>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</si>
  <si>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</si>
  <si>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</si>
  <si>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</si>
  <si>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</si>
  <si>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</si>
  <si>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</si>
  <si>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</si>
  <si>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</si>
  <si>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</si>
  <si>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</si>
  <si>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</si>
  <si>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</si>
  <si>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</si>
  <si>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</si>
  <si>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</si>
  <si>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</si>
  <si>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</si>
  <si>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</si>
  <si>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</si>
  <si>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</si>
  <si>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</si>
  <si>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</si>
  <si>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</si>
  <si>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</si>
  <si>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</si>
  <si>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</si>
  <si>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</si>
  <si>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</si>
  <si>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</si>
  <si>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</si>
  <si>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</si>
  <si>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</si>
  <si>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</si>
  <si>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</si>
  <si>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</si>
  <si>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</si>
  <si>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</si>
  <si>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</si>
  <si>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</si>
  <si>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</si>
  <si>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</si>
  <si>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</si>
  <si>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</si>
  <si>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</si>
  <si>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</si>
  <si>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</si>
  <si>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</si>
  <si>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</si>
  <si>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</si>
  <si>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</si>
  <si>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</si>
  <si>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</si>
  <si>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</si>
  <si>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</si>
  <si>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</si>
  <si>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</si>
  <si>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</si>
  <si>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</si>
  <si>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</si>
  <si>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</si>
  <si>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</si>
  <si>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</si>
  <si>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</si>
  <si>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</si>
  <si>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</si>
  <si>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</si>
  <si>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</si>
  <si>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</si>
  <si>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</si>
  <si>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</si>
  <si>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</si>
  <si>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</si>
  <si>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</si>
  <si>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</si>
  <si>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</si>
  <si>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</si>
  <si>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</si>
  <si>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</si>
  <si>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</si>
  <si>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</si>
  <si>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</si>
  <si>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</si>
  <si>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</si>
  <si>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</si>
  <si>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</si>
  <si>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</si>
  <si>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</si>
  <si>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</si>
  <si>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</si>
  <si>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</si>
  <si>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</si>
  <si>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</si>
  <si>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</si>
  <si>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</si>
  <si>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</si>
  <si>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</si>
  <si>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</si>
  <si>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</si>
  <si>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</si>
  <si>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</si>
  <si>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</si>
  <si>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</si>
  <si>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</si>
  <si>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</si>
  <si>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</si>
  <si>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</si>
  <si>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</si>
  <si>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</si>
  <si>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</si>
  <si>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</si>
  <si>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</si>
  <si>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</si>
  <si>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</si>
  <si>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</si>
  <si>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</si>
  <si>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</si>
  <si>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</si>
  <si>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</si>
  <si>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</si>
  <si>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</si>
  <si>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</si>
  <si>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</si>
  <si>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</si>
  <si>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</si>
  <si>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</si>
  <si>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</si>
  <si>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</si>
  <si>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</si>
  <si>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</si>
  <si>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</si>
  <si>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</si>
  <si>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</si>
  <si>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</si>
  <si>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</si>
  <si>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</si>
  <si>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</si>
  <si>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</si>
  <si>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</si>
  <si>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</si>
  <si>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</si>
  <si>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</si>
  <si>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</si>
  <si>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</si>
  <si>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</si>
  <si>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</si>
  <si>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</si>
  <si>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</si>
  <si>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</si>
  <si>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</si>
  <si>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</si>
  <si>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</si>
  <si>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</si>
  <si>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</si>
  <si>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</si>
  <si>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</si>
  <si>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</si>
  <si>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</si>
  <si>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</si>
  <si>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</si>
  <si>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</si>
  <si>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</si>
  <si>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</si>
  <si>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</si>
  <si>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</si>
  <si>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</si>
  <si>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</si>
  <si>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</si>
  <si>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</si>
  <si>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</si>
  <si>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</si>
  <si>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</si>
  <si>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</si>
  <si>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</si>
  <si>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</si>
  <si>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</si>
  <si>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</si>
  <si>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</si>
  <si>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</si>
  <si>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</si>
  <si>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</si>
  <si>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</si>
  <si>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</si>
  <si>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</si>
  <si>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</si>
  <si>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</si>
  <si>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</si>
  <si>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</si>
  <si>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</si>
  <si>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</si>
  <si>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</si>
  <si>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</si>
  <si>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</si>
  <si>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</si>
  <si>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</si>
  <si>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</si>
  <si>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</si>
  <si>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</si>
  <si>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</si>
  <si>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</si>
  <si>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</si>
  <si>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</si>
  <si>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</si>
  <si>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</si>
  <si>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</si>
  <si>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</si>
  <si>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</si>
  <si>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</si>
  <si>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</si>
  <si>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</si>
  <si>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</si>
  <si>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</si>
  <si>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</si>
  <si>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</si>
  <si>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</si>
  <si>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</si>
  <si>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</si>
  <si>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</si>
  <si>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</si>
  <si>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</si>
  <si>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</si>
  <si>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</si>
  <si>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</si>
  <si>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</si>
  <si>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</si>
  <si>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</si>
  <si>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</si>
  <si>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</si>
  <si>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</si>
  <si>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</si>
  <si>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</si>
  <si>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</si>
  <si>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</si>
  <si>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</si>
  <si>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</si>
  <si>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</si>
  <si>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</si>
  <si>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</si>
  <si>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</si>
  <si>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</si>
  <si>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</si>
  <si>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</si>
  <si>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</si>
  <si>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</si>
  <si>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</si>
  <si>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</si>
  <si>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</si>
  <si>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</si>
  <si>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</si>
  <si>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</si>
  <si>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</si>
  <si>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</si>
  <si>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</si>
  <si>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</si>
  <si>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</si>
  <si>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</si>
  <si>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</si>
  <si>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</si>
  <si>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</si>
  <si>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</si>
  <si>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</si>
  <si>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</si>
  <si>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</si>
  <si>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</si>
  <si>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</si>
  <si>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</si>
  <si>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</si>
  <si>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</si>
  <si>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</si>
  <si>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</si>
  <si>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</si>
  <si>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</si>
  <si>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</si>
  <si>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</si>
  <si>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</si>
  <si>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</si>
  <si>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</si>
  <si>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</si>
  <si>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</si>
  <si>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</si>
  <si>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</si>
  <si>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</si>
  <si>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</si>
  <si>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</si>
  <si>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</si>
  <si>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</si>
  <si>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</si>
  <si>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</si>
  <si>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</si>
  <si>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</si>
  <si>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</si>
  <si>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</si>
  <si>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</si>
  <si>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</si>
  <si>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</si>
  <si>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</si>
  <si>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</si>
  <si>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</si>
  <si>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</si>
  <si>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</si>
  <si>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</si>
  <si>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</si>
  <si>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</si>
  <si>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</si>
  <si>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</si>
  <si>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</si>
  <si>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</si>
  <si>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</si>
  <si>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</si>
  <si>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</si>
  <si>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</si>
  <si>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</si>
  <si>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</si>
  <si>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</si>
  <si>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</si>
  <si>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</si>
  <si>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</si>
  <si>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</si>
  <si>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</si>
  <si>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</si>
  <si>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</si>
  <si>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</si>
  <si>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</si>
  <si>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</si>
  <si>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</si>
  <si>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</si>
  <si>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</si>
  <si>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</si>
  <si>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</si>
  <si>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</si>
  <si>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</si>
  <si>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</si>
  <si>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</si>
  <si>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</si>
  <si>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</si>
  <si>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</si>
  <si>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</si>
  <si>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</si>
  <si>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</si>
  <si>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</si>
  <si>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</si>
  <si>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</si>
  <si>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</si>
  <si>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</si>
  <si>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</si>
  <si>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</si>
  <si>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</si>
  <si>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</si>
  <si>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</si>
  <si>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</si>
  <si>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</si>
  <si>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</si>
  <si>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</si>
  <si>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</si>
  <si>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</si>
  <si>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</si>
  <si>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</si>
  <si>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</si>
  <si>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</si>
  <si>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</si>
  <si>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</si>
  <si>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</si>
  <si>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</si>
  <si>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</si>
  <si>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</si>
  <si>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</si>
  <si>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</si>
  <si>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</si>
  <si>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</si>
  <si>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</si>
  <si>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</si>
  <si>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</si>
  <si>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</si>
  <si>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</si>
  <si>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</si>
  <si>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</si>
  <si>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</si>
  <si>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</si>
  <si>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</si>
  <si>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</si>
  <si>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</si>
  <si>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</si>
  <si>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</si>
  <si>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</si>
  <si>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</si>
  <si>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</si>
  <si>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</si>
  <si>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</si>
  <si>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</si>
  <si>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</si>
  <si>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</si>
  <si>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</si>
  <si>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</si>
  <si>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</si>
  <si>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</si>
  <si>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</si>
  <si>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</si>
  <si>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</si>
  <si>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</si>
  <si>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</si>
  <si>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</si>
  <si>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</si>
  <si>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</si>
  <si>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</si>
  <si>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</si>
  <si>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</si>
  <si>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</si>
  <si>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</si>
  <si>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</si>
  <si>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</si>
  <si>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</si>
  <si>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</si>
  <si>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</si>
  <si>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</si>
  <si>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</si>
  <si>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</si>
  <si>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</si>
  <si>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</si>
  <si>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</si>
  <si>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</si>
  <si>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</si>
  <si>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</si>
  <si>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</si>
  <si>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</si>
  <si>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</si>
  <si>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</si>
  <si>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</si>
  <si>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</si>
  <si>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</si>
  <si>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</si>
  <si>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</si>
  <si>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</si>
  <si>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</si>
  <si>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</si>
  <si>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</si>
  <si>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</si>
  <si>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</si>
  <si>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</si>
  <si>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</si>
  <si>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</si>
  <si>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</si>
  <si>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</si>
  <si>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</si>
  <si>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</si>
  <si>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</si>
  <si>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</si>
  <si>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</si>
  <si>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</si>
  <si>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</si>
  <si>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</si>
  <si>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</si>
  <si>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</si>
  <si>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</si>
  <si>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</si>
  <si>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</si>
  <si>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</si>
  <si>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</si>
  <si>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</si>
  <si>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</si>
  <si>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</si>
  <si>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</si>
  <si>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</si>
  <si>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</si>
  <si>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</si>
  <si>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</si>
  <si>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</si>
  <si>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</si>
  <si>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</si>
  <si>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</si>
  <si>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</si>
  <si>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</si>
  <si>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</si>
  <si>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</si>
  <si>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</si>
  <si>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</si>
  <si>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</si>
  <si>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</si>
  <si>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</si>
  <si>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</si>
  <si>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</si>
  <si>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</si>
  <si>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</si>
  <si>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</si>
  <si>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</si>
  <si>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</si>
  <si>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</si>
  <si>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</si>
  <si>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</si>
  <si>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</si>
  <si>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</si>
  <si>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</si>
  <si>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</si>
  <si>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</si>
  <si>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</si>
  <si>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</si>
  <si>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</si>
  <si>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</si>
  <si>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</si>
  <si>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</si>
  <si>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</si>
  <si>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</si>
  <si>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</si>
  <si>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</si>
  <si>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</si>
  <si>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</si>
  <si>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</si>
  <si>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</si>
  <si>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</si>
  <si>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</si>
  <si>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</si>
  <si>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</si>
  <si>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</si>
  <si>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</si>
  <si>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</si>
  <si>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</si>
  <si>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</si>
  <si>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</si>
  <si>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</si>
  <si>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</si>
  <si>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</si>
  <si>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</si>
  <si>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</si>
  <si>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</si>
  <si>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</si>
  <si>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</si>
  <si>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</si>
  <si>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</si>
  <si>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</si>
  <si>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</si>
  <si>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</si>
  <si>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</si>
  <si>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</si>
  <si>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</si>
  <si>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</si>
  <si>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</si>
  <si>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</si>
  <si>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</si>
  <si>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</si>
  <si>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</si>
  <si>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</si>
  <si>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</si>
  <si>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</si>
  <si>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</si>
  <si>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</si>
  <si>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</si>
  <si>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</si>
  <si>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</si>
  <si>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</si>
  <si>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</si>
  <si>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</si>
  <si>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</si>
  <si>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</si>
  <si>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</si>
  <si>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</si>
  <si>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</si>
  <si>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</si>
  <si>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</si>
  <si>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</si>
  <si>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</si>
  <si>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</si>
  <si>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</si>
  <si>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</si>
  <si>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</si>
  <si>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</si>
  <si>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</si>
  <si>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</si>
  <si>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</si>
  <si>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</si>
  <si>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</si>
  <si>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</si>
  <si>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</si>
  <si>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</si>
  <si>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</si>
  <si>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</si>
  <si>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</si>
  <si>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</si>
  <si>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</si>
  <si>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</si>
  <si>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</si>
  <si>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</si>
  <si>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</si>
  <si>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</si>
  <si>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</si>
  <si>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</si>
  <si>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</si>
  <si>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</si>
  <si>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</si>
  <si>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</si>
  <si>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</si>
  <si>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</si>
  <si>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</si>
  <si>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</si>
  <si>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</si>
  <si>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</si>
  <si>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</si>
  <si>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</si>
  <si>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</si>
  <si>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</si>
  <si>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</si>
  <si>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</si>
  <si>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</si>
  <si>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</si>
  <si>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</si>
  <si>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</si>
  <si>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</si>
  <si>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</si>
  <si>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</si>
  <si>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</si>
  <si>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</si>
  <si>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</si>
  <si>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</si>
  <si>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</si>
  <si>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</si>
  <si>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</si>
  <si>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</si>
  <si>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</si>
  <si>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</si>
  <si>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</si>
  <si>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</si>
  <si>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</si>
  <si>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</si>
  <si>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</si>
  <si>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</si>
  <si>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</si>
  <si>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</si>
  <si>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</si>
  <si>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</si>
  <si>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</si>
  <si>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</si>
  <si>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</si>
  <si>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</si>
  <si>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</si>
  <si>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</si>
  <si>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</si>
  <si>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</si>
  <si>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</si>
  <si>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</si>
  <si>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</si>
  <si>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</si>
  <si>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</si>
  <si>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</si>
  <si>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</si>
  <si>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</si>
  <si>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</si>
  <si>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</si>
  <si>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</si>
  <si>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</si>
  <si>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</si>
  <si>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</si>
  <si>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</si>
  <si>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</si>
  <si>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</si>
  <si>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</si>
  <si>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</si>
  <si>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</si>
  <si>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</si>
  <si>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</si>
  <si>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</si>
  <si>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</si>
  <si>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</si>
  <si>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</si>
  <si>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</si>
  <si>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</si>
  <si>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</si>
  <si>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</si>
  <si>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</si>
  <si>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</si>
  <si>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</si>
  <si>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</si>
  <si>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</si>
  <si>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</si>
  <si>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</si>
  <si>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</si>
  <si>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</si>
  <si>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</si>
  <si>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</si>
  <si>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</si>
  <si>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</si>
  <si>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</si>
  <si>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</si>
  <si>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</si>
  <si>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</si>
  <si>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</si>
  <si>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</si>
  <si>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</si>
  <si>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</si>
  <si>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</si>
  <si>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</si>
  <si>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</si>
  <si>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</si>
  <si>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</si>
  <si>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</si>
  <si>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</si>
  <si>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</si>
  <si>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</si>
  <si>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</si>
  <si>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</si>
  <si>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</si>
  <si>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</si>
  <si>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</si>
  <si>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</si>
  <si>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</si>
  <si>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</si>
  <si>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</si>
  <si>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</si>
  <si>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</si>
  <si>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</si>
  <si>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</si>
  <si>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</si>
  <si>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</si>
  <si>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</si>
  <si>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</si>
  <si>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</si>
  <si>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</si>
  <si>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</si>
  <si>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</si>
  <si>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</si>
  <si>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</si>
  <si>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</si>
  <si>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</si>
  <si>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</si>
  <si>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</si>
  <si>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</si>
  <si>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</si>
  <si>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</si>
  <si>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</si>
  <si>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</si>
  <si>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</si>
  <si>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</si>
  <si>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</si>
  <si>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</si>
  <si>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</si>
  <si>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</si>
  <si>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</si>
  <si>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</si>
  <si>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</si>
  <si>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</si>
  <si>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</si>
  <si>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</si>
  <si>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</si>
  <si>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</si>
  <si>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</si>
  <si>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</si>
  <si>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</si>
  <si>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</si>
  <si>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</si>
  <si>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</si>
  <si>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</si>
  <si>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</si>
  <si>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</si>
  <si>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</si>
  <si>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</si>
  <si>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</si>
  <si>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</si>
  <si>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</si>
  <si>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</si>
  <si>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</si>
  <si>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</si>
  <si>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</si>
  <si>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</si>
  <si>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</si>
  <si>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</si>
  <si>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</si>
  <si>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</si>
  <si>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</si>
  <si>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</si>
  <si>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</si>
  <si>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</si>
  <si>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</si>
  <si>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</si>
  <si>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</si>
  <si>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</si>
  <si>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</si>
  <si>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</si>
  <si>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</si>
  <si>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</si>
  <si>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</si>
  <si>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</si>
  <si>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</si>
  <si>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</si>
  <si>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</si>
  <si>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</si>
  <si>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</si>
  <si>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</si>
  <si>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</si>
  <si>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</si>
  <si>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</si>
  <si>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</si>
  <si>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</si>
  <si>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</si>
  <si>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</si>
  <si>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</si>
  <si>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</si>
  <si>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</si>
  <si>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</si>
  <si>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</si>
  <si>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</si>
  <si>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</si>
  <si>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</si>
  <si>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</si>
  <si>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</si>
  <si>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</si>
  <si>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</si>
  <si>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</si>
  <si>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</si>
  <si>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</si>
  <si>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</si>
  <si>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</si>
  <si>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</si>
  <si>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</si>
  <si>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</si>
  <si>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</si>
  <si>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</si>
  <si>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</si>
  <si>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</si>
  <si>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</si>
  <si>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</si>
  <si>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</si>
  <si>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</si>
  <si>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</si>
  <si>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</si>
  <si>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</si>
  <si>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</si>
  <si>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</si>
  <si>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</si>
  <si>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</si>
  <si>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</si>
  <si>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</si>
  <si>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</si>
  <si>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</si>
  <si>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</si>
  <si>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</si>
  <si>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</si>
  <si>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</si>
  <si>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</si>
  <si>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</si>
  <si>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</si>
  <si>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</si>
  <si>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</si>
  <si>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</si>
  <si>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</si>
  <si>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</si>
  <si>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</si>
  <si>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</si>
  <si>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</si>
  <si>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</si>
  <si>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</si>
  <si>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</si>
  <si>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</si>
  <si>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</si>
  <si>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</si>
  <si>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</si>
  <si>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</si>
  <si>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</si>
  <si>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</si>
  <si>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</si>
  <si>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</si>
  <si>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</si>
  <si>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</si>
  <si>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</si>
  <si>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</si>
  <si>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</si>
  <si>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</si>
  <si>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</si>
  <si>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</si>
  <si>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</si>
  <si>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</si>
  <si>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</si>
  <si>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</si>
  <si>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</si>
  <si>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</si>
  <si>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</si>
  <si>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</si>
  <si>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</si>
  <si>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</si>
  <si>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</si>
  <si>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</si>
  <si>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</si>
  <si>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</si>
  <si>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</si>
  <si>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</si>
  <si>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</si>
  <si>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</si>
  <si>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</si>
  <si>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</si>
  <si>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</si>
  <si>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</si>
  <si>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</si>
  <si>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</si>
  <si>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</si>
  <si>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</si>
  <si>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</si>
  <si>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</si>
  <si>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</si>
  <si>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</si>
  <si>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</si>
  <si>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</si>
  <si>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</si>
  <si>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</si>
  <si>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</si>
  <si>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</si>
  <si>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</si>
  <si>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</si>
  <si>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</si>
  <si>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</si>
  <si>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</si>
  <si>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</si>
  <si>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</si>
  <si>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</si>
  <si>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</si>
  <si>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</si>
  <si>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</si>
  <si>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</si>
  <si>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</si>
  <si>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</si>
  <si>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</si>
  <si>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</si>
  <si>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</si>
  <si>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</si>
  <si>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</si>
  <si>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</si>
  <si>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</si>
  <si>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</si>
  <si>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</si>
  <si>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</si>
  <si>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</si>
  <si>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</si>
  <si>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</si>
  <si>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</si>
  <si>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</si>
  <si>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</si>
  <si>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</si>
  <si>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</si>
  <si>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</si>
  <si>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</si>
  <si>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</si>
  <si>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</si>
  <si>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</si>
  <si>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</si>
  <si>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</si>
  <si>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</si>
  <si>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</si>
  <si>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</si>
  <si>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</si>
  <si>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</si>
  <si>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</si>
  <si>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</si>
  <si>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</si>
  <si>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</si>
  <si>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</si>
  <si>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</si>
  <si>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</si>
  <si>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</si>
  <si>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</si>
  <si>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</si>
  <si>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</si>
  <si>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</si>
  <si>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</si>
  <si>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</si>
  <si>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</si>
  <si>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</si>
  <si>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</si>
  <si>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</si>
  <si>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</si>
  <si>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</si>
  <si>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</si>
  <si>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</si>
  <si>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</si>
  <si>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</si>
  <si>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</si>
  <si>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</si>
  <si>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</si>
  <si>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</si>
  <si>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</si>
  <si>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</si>
  <si>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</si>
  <si>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</si>
  <si>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</si>
  <si>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</si>
  <si>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</si>
  <si>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</si>
  <si>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</si>
  <si>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</si>
  <si>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</si>
  <si>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</si>
  <si>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</si>
  <si>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</si>
  <si>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</si>
  <si>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</si>
  <si>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</si>
  <si>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</si>
  <si>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</si>
  <si>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</si>
  <si>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</si>
  <si>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</si>
  <si>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</si>
  <si>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</si>
  <si>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</si>
  <si>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</si>
  <si>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</si>
  <si>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</si>
  <si>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</si>
  <si>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</si>
  <si>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</si>
  <si>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</si>
  <si>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</si>
  <si>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</si>
  <si>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</si>
  <si>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</si>
  <si>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</si>
  <si>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</si>
  <si>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</si>
  <si>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</si>
  <si>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</si>
  <si>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</si>
  <si>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</si>
  <si>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</si>
  <si>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</si>
  <si>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</si>
  <si>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</si>
  <si>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</si>
  <si>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</si>
  <si>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</si>
  <si>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</si>
  <si>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</si>
  <si>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</si>
  <si>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</si>
  <si>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</si>
  <si>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</si>
  <si>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</si>
  <si>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</si>
  <si>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</si>
  <si>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</si>
  <si>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</si>
  <si>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</si>
  <si>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</si>
  <si>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</si>
  <si>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</si>
  <si>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</si>
  <si>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</si>
  <si>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</si>
  <si>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</si>
  <si>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</si>
  <si>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</si>
  <si>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</si>
  <si>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</si>
  <si>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</si>
  <si>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</si>
  <si>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</si>
  <si>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</si>
  <si>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</si>
  <si>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</si>
  <si>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</si>
  <si>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</si>
  <si>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</si>
  <si>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</si>
  <si>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</si>
  <si>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</si>
  <si>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</si>
  <si>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</si>
  <si>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</si>
  <si>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</si>
  <si>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</si>
  <si>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</si>
  <si>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</si>
  <si>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</si>
  <si>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</si>
  <si>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</si>
  <si>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</si>
  <si>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</si>
  <si>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</si>
  <si>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</si>
  <si>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</si>
  <si>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</si>
  <si>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</si>
  <si>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</si>
  <si>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</si>
  <si>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</si>
  <si>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</si>
  <si>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</si>
  <si>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</si>
  <si>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</si>
  <si>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</si>
  <si>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</si>
  <si>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</si>
  <si>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</si>
  <si>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</si>
  <si>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</si>
  <si>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</si>
  <si>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</si>
  <si>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</si>
  <si>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</si>
  <si>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</si>
  <si>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</si>
  <si>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</si>
  <si>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</si>
  <si>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</si>
  <si>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</si>
  <si>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</si>
  <si>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</si>
  <si>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</si>
  <si>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</si>
  <si>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</si>
  <si>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</si>
  <si>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</si>
  <si>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</si>
  <si>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</si>
  <si>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</si>
  <si>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</si>
  <si>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</si>
  <si>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</si>
  <si>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</si>
  <si>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</si>
  <si>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</si>
  <si>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</si>
  <si>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</si>
  <si>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</si>
  <si>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</si>
  <si>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</si>
  <si>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</si>
  <si>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</si>
  <si>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</si>
  <si>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</si>
  <si>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</si>
  <si>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</si>
  <si>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</si>
  <si>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</si>
  <si>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</si>
  <si>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</si>
  <si>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</si>
  <si>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</si>
  <si>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</si>
  <si>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</si>
  <si>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</si>
  <si>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</si>
  <si>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</si>
  <si>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</si>
  <si>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</si>
  <si>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</si>
  <si>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</si>
  <si>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</si>
  <si>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</si>
  <si>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</si>
  <si>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</si>
  <si>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</si>
  <si>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</si>
  <si>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</si>
  <si>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</si>
  <si>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</si>
  <si>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</si>
  <si>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</si>
  <si>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</si>
  <si>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</si>
  <si>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</si>
  <si>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</si>
  <si>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</si>
  <si>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</si>
  <si>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</si>
  <si>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</si>
  <si>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</si>
  <si>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</si>
  <si>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</si>
  <si>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</si>
  <si>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</si>
  <si>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</si>
  <si>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</si>
  <si>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</si>
  <si>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</si>
  <si>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</si>
  <si>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</si>
  <si>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</si>
  <si>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</si>
  <si>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</si>
  <si>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</si>
  <si>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</si>
  <si>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</si>
  <si>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</si>
  <si>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</si>
  <si>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</si>
  <si>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</si>
  <si>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</si>
  <si>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</si>
  <si>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</si>
  <si>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</si>
  <si>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</si>
  <si>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</si>
  <si>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</si>
  <si>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</si>
  <si>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</si>
  <si>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</si>
  <si>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</si>
  <si>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</si>
  <si>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</si>
  <si>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</si>
  <si>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</si>
  <si>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</si>
  <si>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</si>
  <si>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</si>
  <si>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</si>
  <si>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</si>
  <si>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</si>
  <si>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</si>
  <si>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</si>
  <si>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</si>
  <si>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</si>
  <si>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</si>
  <si>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</si>
  <si>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</si>
  <si>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</si>
  <si>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</si>
  <si>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</si>
  <si>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</si>
  <si>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</si>
  <si>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</si>
  <si>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</si>
  <si>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</si>
  <si>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</si>
  <si>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</si>
  <si>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</si>
  <si>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</si>
  <si>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</si>
  <si>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</si>
  <si>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</si>
  <si>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</si>
  <si>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</si>
  <si>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</si>
  <si>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</si>
  <si>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</si>
  <si>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</si>
  <si>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</si>
  <si>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</si>
  <si>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</si>
  <si>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</si>
  <si>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</si>
  <si>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</si>
  <si>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</si>
  <si>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</si>
  <si>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</si>
  <si>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</si>
  <si>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</si>
  <si>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</si>
  <si>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</si>
  <si>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</si>
  <si>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</si>
  <si>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</si>
  <si>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</si>
  <si>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</si>
  <si>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</si>
  <si>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</si>
  <si>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</si>
  <si>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</si>
  <si>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</si>
  <si>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</si>
  <si>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</si>
  <si>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</si>
  <si>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</si>
  <si>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</si>
  <si>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</si>
  <si>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</si>
  <si>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</si>
  <si>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</si>
  <si>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</si>
  <si>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</si>
  <si>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</si>
  <si>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</si>
  <si>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</si>
  <si>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</si>
  <si>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</si>
  <si>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</si>
  <si>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</si>
  <si>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</si>
  <si>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</si>
  <si>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</si>
  <si>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</si>
  <si>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</si>
  <si>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</si>
  <si>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</si>
  <si>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</si>
  <si>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</si>
  <si>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</si>
  <si>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</si>
  <si>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</si>
  <si>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</si>
  <si>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</si>
  <si>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</si>
  <si>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</si>
  <si>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</si>
  <si>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</si>
  <si>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</si>
  <si>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</si>
  <si>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</si>
  <si>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</si>
  <si>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</si>
  <si>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</si>
  <si>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</si>
  <si>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</si>
  <si>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</si>
  <si>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</si>
  <si>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</si>
  <si>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</si>
  <si>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</si>
  <si>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</si>
  <si>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</si>
  <si>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</si>
  <si>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</si>
  <si>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</si>
  <si>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</si>
  <si>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</si>
  <si>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</si>
  <si>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</si>
  <si>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</si>
  <si>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</si>
  <si>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</si>
  <si>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</si>
  <si>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</si>
  <si>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</si>
  <si>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</si>
  <si>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</si>
  <si>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</si>
  <si>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</si>
  <si>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</si>
  <si>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</si>
  <si>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</si>
  <si>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</si>
  <si>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</si>
  <si>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</si>
  <si>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</si>
  <si>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</si>
  <si>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</si>
  <si>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</si>
  <si>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</si>
  <si>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</si>
  <si>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</si>
  <si>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</si>
  <si>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</si>
  <si>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</si>
  <si>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</si>
  <si>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</si>
  <si>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</si>
  <si>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</si>
  <si>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</si>
  <si>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</si>
  <si>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</si>
  <si>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</si>
  <si>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</si>
  <si>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</si>
  <si>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</si>
  <si>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</si>
  <si>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</si>
  <si>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</si>
  <si>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</si>
  <si>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</si>
  <si>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</si>
  <si>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</si>
  <si>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</si>
  <si>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</si>
  <si>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</si>
  <si>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</si>
  <si>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</si>
  <si>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</si>
  <si>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</si>
  <si>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</si>
  <si>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</si>
  <si>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</si>
  <si>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</si>
  <si>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</si>
  <si>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</si>
  <si>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</si>
  <si>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</si>
  <si>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</si>
  <si>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</si>
  <si>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</si>
  <si>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</si>
  <si>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</si>
  <si>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</si>
  <si>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</si>
  <si>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</si>
  <si>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</si>
  <si>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</si>
  <si>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</si>
  <si>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</si>
  <si>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</si>
  <si>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</si>
  <si>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</si>
  <si>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</si>
  <si>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</si>
  <si>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</si>
  <si>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</si>
  <si>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</si>
  <si>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</si>
  <si>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</si>
  <si>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</si>
  <si>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</si>
  <si>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</si>
  <si>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</si>
  <si>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</si>
  <si>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</si>
  <si>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</si>
  <si>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</si>
  <si>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</si>
  <si>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</si>
  <si>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</si>
  <si>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</si>
  <si>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</si>
  <si>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</si>
  <si>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</si>
  <si>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</si>
  <si>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</si>
  <si>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</si>
  <si>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</si>
  <si>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</si>
  <si>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</si>
  <si>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</si>
  <si>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</si>
  <si>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</si>
  <si>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</si>
  <si>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</si>
  <si>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</si>
  <si>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</si>
  <si>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</si>
  <si>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</si>
  <si>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</si>
  <si>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</si>
  <si>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</si>
  <si>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</si>
  <si>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</si>
  <si>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</si>
  <si>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</si>
  <si>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</si>
  <si>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</si>
  <si>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</si>
  <si>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</si>
  <si>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</si>
  <si>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</si>
  <si>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</si>
  <si>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</si>
  <si>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</si>
  <si>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</si>
  <si>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</si>
  <si>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</si>
  <si>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</si>
  <si>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</si>
  <si>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</si>
  <si>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</si>
  <si>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</si>
  <si>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</si>
  <si>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</si>
  <si>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</si>
  <si>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</si>
  <si>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</si>
  <si>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</si>
  <si>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</si>
  <si>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</si>
  <si>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</si>
  <si>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</si>
  <si>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</si>
  <si>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</si>
  <si>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</si>
  <si>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</si>
  <si>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</si>
  <si>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</si>
  <si>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</si>
  <si>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</si>
  <si>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</si>
  <si>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</si>
  <si>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</si>
  <si>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</si>
  <si>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</si>
  <si>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</si>
  <si>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</si>
  <si>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</si>
  <si>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</si>
  <si>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</si>
  <si>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</si>
  <si>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</si>
  <si>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</si>
  <si>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</si>
  <si>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</si>
  <si>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</si>
  <si>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</si>
  <si>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</si>
  <si>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</si>
  <si>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</si>
  <si>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</si>
  <si>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</si>
  <si>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</si>
  <si>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</si>
  <si>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</si>
  <si>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</si>
  <si>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</si>
  <si>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</si>
  <si>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</si>
  <si>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</si>
  <si>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</si>
  <si>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</si>
  <si>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</si>
  <si>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</si>
  <si>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</si>
  <si>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</si>
  <si>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</si>
  <si>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</si>
  <si>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</si>
  <si>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</si>
  <si>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</si>
  <si>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</si>
  <si>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</si>
  <si>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</si>
  <si>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</si>
  <si>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</si>
  <si>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</si>
  <si>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</si>
  <si>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</si>
  <si>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</si>
  <si>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</si>
  <si>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</si>
  <si>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</si>
  <si>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</si>
  <si>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</si>
  <si>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</si>
  <si>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</si>
  <si>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</si>
  <si>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</si>
  <si>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</si>
  <si>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</si>
  <si>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</si>
  <si>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</si>
  <si>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</si>
  <si>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</si>
  <si>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</si>
  <si>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</si>
  <si>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</si>
  <si>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</si>
  <si>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</si>
  <si>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</si>
  <si>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</si>
  <si>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</si>
  <si>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</si>
  <si>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</si>
  <si>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</si>
  <si>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</si>
  <si>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</si>
  <si>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</si>
  <si>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</si>
  <si>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</si>
  <si>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</si>
  <si>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</si>
  <si>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</si>
  <si>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</si>
  <si>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</si>
  <si>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</si>
  <si>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</si>
  <si>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</si>
  <si>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</si>
  <si>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</si>
  <si>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</si>
  <si>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</si>
  <si>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</si>
  <si>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</si>
  <si>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</si>
  <si>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</si>
  <si>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</si>
  <si>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</si>
  <si>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</si>
  <si>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</si>
  <si>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</si>
  <si>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</si>
  <si>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</si>
  <si>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</si>
  <si>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</si>
  <si>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</si>
  <si>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</si>
  <si>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</si>
  <si>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</si>
  <si>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</si>
  <si>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</si>
  <si>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</si>
  <si>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</si>
  <si>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</si>
  <si>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</si>
  <si>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</si>
  <si>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</si>
  <si>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</si>
  <si>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</si>
  <si>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</si>
  <si>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</si>
  <si>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</si>
  <si>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</si>
  <si>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</si>
  <si>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</si>
  <si>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</si>
  <si>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</si>
  <si>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</si>
  <si>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</si>
  <si>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</si>
  <si>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</si>
  <si>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</si>
  <si>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</si>
  <si>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</si>
  <si>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</si>
  <si>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</si>
  <si>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</si>
  <si>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</si>
  <si>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</si>
  <si>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</si>
  <si>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</si>
  <si>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</si>
  <si>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</si>
  <si>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</si>
  <si>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</si>
  <si>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</si>
  <si>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</si>
  <si>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</si>
  <si>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</si>
  <si>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</si>
  <si>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</si>
  <si>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</si>
  <si>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</si>
  <si>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</si>
  <si>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</si>
  <si>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</si>
  <si>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</si>
  <si>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</si>
  <si>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</si>
  <si>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</si>
  <si>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</si>
  <si>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</si>
  <si>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</si>
  <si>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</si>
  <si>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</si>
  <si>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</si>
  <si>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</si>
  <si>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</si>
  <si>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</si>
  <si>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</si>
  <si>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</si>
  <si>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</si>
  <si>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</si>
  <si>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</si>
  <si>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</si>
  <si>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</si>
  <si>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</si>
  <si>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</si>
  <si>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</si>
  <si>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</si>
  <si>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</si>
  <si>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</si>
  <si>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</si>
  <si>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</si>
  <si>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</si>
  <si>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</si>
  <si>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</si>
  <si>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</si>
  <si>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</si>
  <si>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</si>
  <si>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</si>
  <si>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</si>
  <si>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</si>
  <si>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</si>
  <si>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</si>
  <si>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</si>
  <si>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</si>
  <si>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</si>
  <si>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</si>
  <si>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</si>
  <si>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</si>
  <si>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</si>
  <si>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</si>
  <si>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</si>
  <si>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</si>
  <si>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</si>
  <si>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</si>
  <si>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</si>
  <si>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</si>
  <si>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</si>
  <si>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</si>
  <si>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</si>
  <si>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</si>
  <si>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</si>
  <si>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</si>
  <si>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</si>
  <si>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</si>
  <si>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</si>
  <si>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</si>
  <si>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</si>
  <si>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</si>
  <si>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</si>
  <si>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</si>
  <si>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</si>
  <si>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</si>
  <si>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</si>
  <si>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</si>
  <si>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</si>
  <si>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</si>
  <si>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</si>
  <si>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</si>
  <si>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</si>
  <si>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</si>
  <si>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</si>
  <si>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</si>
  <si>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</si>
  <si>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</si>
  <si>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</si>
  <si>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</si>
  <si>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</si>
  <si>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</si>
  <si>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</si>
  <si>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</si>
  <si>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</si>
  <si>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</si>
  <si>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</si>
  <si>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</si>
  <si>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</si>
  <si>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</si>
  <si>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</si>
  <si>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</si>
  <si>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</si>
  <si>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</si>
  <si>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</si>
  <si>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</si>
  <si>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</si>
  <si>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</si>
  <si>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</si>
  <si>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</si>
  <si>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</si>
  <si>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</si>
  <si>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</si>
  <si>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</si>
  <si>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</si>
  <si>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</si>
  <si>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</si>
  <si>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</si>
  <si>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</si>
  <si>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</si>
  <si>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</si>
  <si>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</si>
  <si>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</si>
  <si>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</si>
  <si>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</si>
  <si>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</si>
  <si>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</si>
  <si>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</si>
  <si>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</si>
  <si>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</si>
  <si>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</si>
  <si>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</si>
  <si>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</si>
  <si>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</si>
  <si>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</si>
  <si>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</si>
  <si>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</si>
  <si>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</si>
  <si>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</si>
  <si>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</si>
  <si>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</si>
  <si>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</si>
  <si>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</si>
  <si>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</si>
  <si>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</si>
  <si>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</si>
  <si>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</si>
  <si>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</si>
  <si>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</si>
  <si>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</si>
  <si>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</si>
  <si>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</si>
  <si>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</si>
  <si>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</si>
  <si>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</si>
  <si>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</si>
  <si>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</si>
  <si>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</si>
  <si>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</si>
  <si>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</si>
  <si>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</si>
  <si>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</si>
  <si>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</si>
  <si>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</si>
  <si>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</si>
  <si>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</si>
  <si>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</si>
  <si>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</si>
  <si>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</si>
  <si>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</si>
  <si>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</si>
  <si>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</si>
  <si>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</si>
  <si>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</si>
  <si>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</si>
  <si>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</si>
  <si>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</si>
  <si>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</si>
  <si>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</si>
  <si>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</si>
  <si>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</si>
  <si>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</si>
  <si>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</si>
  <si>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</si>
  <si>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</si>
  <si>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</si>
  <si>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</si>
  <si>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</si>
  <si>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</si>
  <si>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</si>
  <si>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</si>
  <si>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</si>
  <si>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</si>
  <si>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</si>
  <si>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</si>
  <si>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</si>
  <si>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</si>
  <si>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</si>
  <si>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</si>
  <si>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</si>
  <si>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</si>
  <si>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</si>
  <si>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</si>
  <si>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</si>
  <si>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</si>
  <si>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</si>
  <si>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</si>
  <si>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</si>
  <si>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</si>
  <si>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</si>
  <si>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</si>
  <si>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</si>
  <si>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</si>
  <si>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</si>
  <si>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</si>
  <si>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</si>
  <si>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</si>
  <si>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</si>
  <si>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</si>
  <si>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</si>
  <si>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</si>
  <si>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</si>
  <si>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</si>
  <si>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</si>
  <si>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</si>
  <si>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</si>
  <si>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</si>
  <si>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</si>
  <si>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</si>
  <si>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</si>
  <si>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</si>
  <si>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</si>
  <si>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</si>
  <si>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</si>
  <si>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</si>
  <si>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</si>
  <si>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</si>
  <si>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</si>
  <si>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</si>
  <si>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</si>
  <si>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</si>
  <si>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</si>
  <si>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</si>
  <si>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</si>
  <si>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</si>
  <si>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</si>
  <si>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</si>
  <si>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</si>
  <si>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</si>
  <si>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</si>
  <si>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</si>
  <si>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</si>
  <si>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</si>
  <si>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</si>
  <si>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</si>
  <si>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</si>
  <si>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</si>
  <si>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</si>
  <si>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</si>
  <si>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</si>
  <si>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</si>
  <si>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</si>
  <si>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</si>
  <si>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</si>
  <si>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</si>
  <si>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</si>
  <si>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</si>
  <si>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</si>
  <si>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</si>
  <si>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</si>
  <si>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</si>
  <si>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</si>
  <si>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</si>
  <si>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</si>
  <si>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</si>
  <si>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</si>
  <si>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</si>
  <si>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</si>
  <si>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</si>
  <si>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</si>
  <si>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</si>
  <si>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</si>
  <si>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</si>
  <si>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</si>
  <si>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</si>
  <si>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</si>
  <si>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</si>
  <si>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</si>
  <si>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</si>
  <si>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</si>
  <si>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</si>
  <si>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</si>
  <si>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</si>
  <si>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</si>
  <si>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</si>
  <si>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</si>
  <si>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</si>
  <si>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</si>
  <si>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</si>
  <si>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</si>
  <si>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</si>
  <si>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</si>
  <si>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</si>
  <si>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</si>
  <si>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</si>
  <si>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</si>
  <si>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</si>
  <si>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</si>
  <si>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</si>
  <si>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</si>
  <si>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</si>
  <si>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</si>
  <si>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</si>
  <si>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</si>
  <si>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</si>
  <si>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</si>
  <si>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</si>
  <si>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</si>
  <si>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</si>
  <si>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</si>
  <si>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</si>
  <si>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</si>
  <si>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</si>
  <si>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</si>
  <si>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</si>
  <si>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</si>
  <si>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</si>
  <si>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</si>
  <si>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</si>
  <si>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</si>
  <si>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</si>
  <si>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</si>
  <si>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</si>
  <si>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</si>
  <si>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</si>
  <si>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</si>
  <si>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</si>
  <si>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</si>
  <si>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</si>
  <si>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</si>
  <si>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</si>
  <si>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</si>
  <si>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</si>
  <si>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</si>
  <si>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</si>
  <si>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</si>
  <si>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</si>
  <si>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</si>
  <si>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</si>
  <si>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</si>
  <si>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</si>
  <si>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</si>
  <si>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</si>
  <si>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</si>
  <si>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</si>
  <si>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</si>
  <si>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</si>
  <si>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</si>
  <si>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</si>
  <si>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</si>
  <si>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</si>
  <si>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</si>
  <si>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</si>
  <si>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</si>
  <si>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</si>
  <si>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</si>
  <si>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</si>
  <si>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</si>
  <si>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</si>
  <si>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</si>
  <si>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</si>
  <si>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</si>
  <si>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</si>
  <si>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</si>
  <si>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</si>
  <si>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</si>
  <si>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</si>
  <si>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</si>
  <si>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</si>
  <si>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</si>
  <si>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</si>
  <si>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</si>
  <si>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</si>
  <si>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</si>
  <si>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</si>
  <si>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</si>
  <si>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</si>
  <si>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</si>
  <si>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</si>
  <si>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</si>
  <si>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</si>
  <si>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</si>
  <si>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</si>
  <si>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</si>
  <si>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</si>
  <si>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</si>
  <si>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</si>
  <si>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</si>
  <si>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</si>
  <si>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</si>
  <si>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</si>
  <si>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</si>
  <si>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</si>
  <si>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</si>
  <si>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</si>
  <si>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</si>
  <si>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</si>
  <si>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</si>
  <si>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</si>
  <si>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</si>
  <si>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</si>
  <si>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</si>
  <si>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</si>
  <si>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</si>
  <si>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</si>
  <si>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</si>
  <si>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</si>
  <si>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</si>
  <si>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</si>
  <si>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</si>
  <si>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</si>
  <si>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</si>
  <si>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</si>
  <si>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</si>
  <si>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</si>
  <si>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</si>
  <si>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</si>
  <si>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</si>
  <si>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</si>
  <si>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</si>
  <si>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</si>
  <si>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</si>
  <si>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</si>
  <si>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</si>
  <si>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</si>
  <si>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</si>
  <si>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</si>
  <si>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</si>
  <si>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</si>
  <si>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</si>
  <si>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</si>
  <si>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</si>
  <si>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</si>
  <si>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</si>
  <si>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</si>
  <si>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</si>
  <si>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</si>
  <si>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</si>
  <si>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</si>
  <si>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</si>
  <si>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</si>
  <si>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</si>
  <si>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</si>
  <si>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</si>
  <si>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</si>
  <si>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</si>
  <si>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</si>
  <si>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</si>
  <si>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</si>
  <si>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</si>
  <si>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</si>
  <si>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</si>
  <si>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</si>
  <si>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</si>
  <si>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</si>
  <si>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</si>
  <si>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</si>
  <si>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</si>
  <si>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</si>
  <si>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</si>
  <si>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</si>
  <si>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</si>
  <si>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</si>
  <si>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</si>
  <si>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</si>
  <si>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</si>
  <si>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</si>
  <si>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</si>
  <si>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</si>
  <si>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</si>
  <si>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</si>
  <si>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</si>
  <si>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</si>
  <si>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</si>
  <si>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</si>
  <si>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</si>
  <si>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</si>
  <si>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</si>
  <si>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</si>
  <si>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</si>
  <si>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</si>
  <si>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</si>
  <si>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</si>
  <si>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</si>
  <si>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</si>
  <si>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</si>
  <si>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</si>
  <si>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</si>
  <si>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</si>
  <si>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</si>
  <si>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</si>
  <si>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</si>
  <si>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</si>
  <si>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</si>
  <si>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</si>
  <si>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</si>
  <si>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</si>
  <si>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</si>
  <si>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</si>
  <si>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</si>
  <si>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</si>
  <si>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</si>
  <si>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</si>
  <si>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</si>
  <si>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</si>
  <si>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</si>
  <si>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</si>
  <si>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</si>
  <si>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</si>
  <si>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</si>
  <si>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</si>
  <si>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</si>
  <si>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</si>
  <si>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</si>
  <si>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</si>
  <si>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</si>
  <si>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</si>
  <si>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</si>
  <si>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</si>
  <si>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</si>
  <si>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</si>
  <si>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</si>
  <si>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</si>
  <si>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</si>
  <si>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</si>
  <si>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</si>
  <si>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</si>
  <si>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</si>
  <si>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</si>
  <si>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</si>
  <si>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</si>
  <si>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</si>
  <si>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</si>
  <si>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</si>
  <si>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</si>
  <si>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</si>
  <si>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</si>
  <si>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</si>
  <si>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</si>
  <si>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</si>
  <si>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</si>
  <si>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</si>
  <si>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</si>
  <si>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</si>
  <si>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</si>
  <si>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</si>
  <si>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</si>
  <si>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</si>
  <si>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</si>
  <si>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</si>
  <si>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</si>
  <si>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</si>
  <si>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</si>
  <si>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</si>
  <si>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</si>
  <si>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</si>
  <si>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</si>
  <si>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</si>
  <si>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</si>
  <si>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</si>
  <si>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</si>
  <si>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</si>
  <si>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</si>
  <si>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</si>
  <si>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</si>
  <si>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</si>
  <si>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</si>
  <si>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</si>
  <si>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</si>
  <si>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</si>
  <si>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</si>
  <si>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</si>
  <si>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</si>
  <si>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</si>
  <si>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</si>
  <si>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</si>
  <si>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</si>
  <si>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</si>
  <si>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</si>
  <si>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</si>
  <si>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</si>
  <si>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</si>
  <si>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</si>
  <si>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</si>
  <si>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</si>
  <si>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</si>
  <si>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</si>
  <si>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</si>
  <si>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</si>
  <si>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</si>
  <si>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</si>
  <si>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</si>
  <si>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</si>
  <si>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</si>
  <si>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</si>
  <si>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</si>
  <si>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</si>
  <si>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</si>
  <si>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</si>
  <si>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</si>
  <si>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</si>
  <si>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</si>
  <si>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</si>
  <si>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</si>
  <si>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</si>
  <si>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</si>
  <si>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</si>
  <si>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</si>
  <si>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</si>
  <si>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</si>
  <si>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</si>
  <si>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</si>
  <si>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</si>
  <si>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</si>
  <si>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</si>
  <si>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</si>
  <si>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</si>
  <si>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</si>
  <si>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</si>
  <si>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</si>
  <si>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</si>
  <si>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</si>
  <si>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</si>
  <si>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</si>
  <si>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</si>
  <si>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</si>
  <si>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</si>
  <si>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</si>
  <si>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</si>
  <si>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</si>
  <si>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</si>
  <si>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</si>
  <si>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</si>
  <si>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</si>
  <si>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</si>
  <si>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</si>
  <si>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</si>
  <si>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</si>
  <si>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</si>
  <si>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</si>
  <si>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</si>
  <si>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</si>
  <si>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</si>
  <si>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</si>
  <si>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</si>
  <si>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</si>
  <si>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</si>
  <si>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</si>
  <si>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</si>
  <si>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</si>
  <si>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</si>
  <si>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</si>
  <si>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</si>
  <si>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</si>
  <si>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</si>
  <si>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</si>
  <si>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</si>
  <si>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</si>
  <si>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</si>
  <si>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</si>
  <si>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</si>
  <si>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</si>
  <si>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</si>
  <si>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</si>
  <si>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</si>
  <si>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</si>
  <si>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</si>
  <si>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</si>
  <si>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</si>
  <si>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</si>
  <si>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</si>
  <si>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</si>
  <si>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</si>
  <si>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</si>
  <si>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</si>
  <si>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</si>
  <si>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</si>
  <si>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</si>
  <si>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</si>
  <si>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</si>
  <si>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</si>
  <si>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</si>
  <si>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</si>
  <si>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</si>
  <si>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</si>
  <si>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</si>
  <si>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</si>
  <si>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</si>
  <si>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</si>
  <si>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</si>
  <si>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</si>
  <si>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</si>
  <si>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</si>
  <si>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</si>
  <si>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</si>
  <si>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</si>
  <si>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</si>
  <si>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</si>
  <si>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</si>
  <si>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</si>
  <si>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</si>
  <si>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</si>
  <si>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</si>
  <si>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</si>
  <si>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</si>
  <si>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</si>
  <si>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</si>
  <si>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</si>
  <si>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</si>
  <si>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</si>
  <si>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</si>
  <si>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</si>
  <si>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</si>
  <si>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</si>
  <si>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</si>
  <si>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</si>
  <si>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</si>
  <si>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</si>
  <si>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</si>
  <si>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</si>
  <si>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</si>
  <si>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</si>
  <si>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</si>
  <si>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</si>
  <si>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</si>
  <si>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</si>
  <si>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</si>
  <si>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</si>
  <si>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</si>
  <si>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</si>
  <si>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</si>
  <si>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</si>
  <si>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</si>
  <si>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</si>
  <si>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</si>
  <si>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</si>
  <si>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</si>
  <si>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</si>
  <si>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</si>
  <si>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</si>
  <si>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</si>
  <si>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</si>
  <si>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</si>
  <si>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</si>
  <si>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</si>
  <si>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</si>
  <si>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</si>
  <si>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</si>
  <si>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</si>
  <si>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</si>
  <si>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</si>
  <si>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</si>
  <si>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</si>
  <si>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</si>
  <si>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</si>
  <si>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</si>
  <si>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</si>
  <si>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</si>
  <si>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</si>
  <si>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</si>
  <si>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</si>
  <si>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</si>
  <si>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</si>
  <si>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</si>
  <si>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</si>
  <si>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</si>
  <si>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</si>
  <si>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</si>
  <si>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</si>
  <si>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</si>
  <si>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</si>
  <si>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</si>
  <si>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</si>
  <si>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</si>
  <si>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</si>
  <si>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</si>
  <si>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</si>
  <si>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</si>
  <si>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</si>
  <si>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</si>
  <si>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</si>
  <si>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</si>
  <si>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</si>
  <si>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</si>
  <si>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</si>
  <si>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</si>
  <si>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</si>
  <si>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</si>
  <si>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</si>
  <si>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</si>
  <si>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</si>
  <si>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</si>
  <si>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</si>
  <si>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</si>
  <si>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</si>
  <si>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</si>
  <si>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</si>
  <si>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</si>
  <si>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</si>
  <si>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</si>
  <si>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</si>
  <si>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</si>
  <si>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</si>
  <si>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</si>
  <si>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</si>
  <si>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</si>
  <si>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</si>
  <si>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</si>
  <si>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</si>
  <si>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</si>
  <si>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</si>
  <si>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</si>
  <si>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</si>
  <si>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</si>
  <si>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</si>
  <si>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</si>
  <si>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</si>
  <si>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</si>
  <si>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</si>
  <si>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</si>
  <si>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</si>
  <si>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</si>
  <si>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</si>
  <si>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</si>
  <si>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</si>
  <si>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</si>
  <si>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</si>
  <si>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</si>
  <si>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</si>
  <si>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</si>
  <si>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</si>
  <si>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</si>
  <si>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</si>
  <si>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</si>
  <si>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</si>
  <si>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</si>
  <si>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</si>
  <si>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</si>
  <si>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</si>
  <si>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</si>
  <si>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</si>
  <si>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</si>
  <si>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</si>
  <si>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</si>
  <si>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</si>
  <si>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</si>
  <si>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</si>
  <si>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</si>
  <si>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</si>
  <si>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</si>
  <si>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</si>
  <si>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</si>
  <si>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</si>
  <si>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</si>
  <si>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</si>
  <si>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</si>
  <si>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</si>
  <si>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</si>
  <si>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</si>
  <si>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</si>
  <si>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</si>
  <si>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</si>
  <si>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</si>
  <si>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</si>
  <si>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</si>
  <si>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</si>
  <si>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</si>
  <si>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</si>
  <si>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</si>
  <si>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</si>
  <si>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</si>
  <si>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</si>
  <si>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</si>
  <si>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</si>
  <si>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</si>
  <si>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</si>
  <si>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</si>
  <si>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</si>
  <si>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</si>
  <si>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</si>
  <si>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</si>
  <si>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</si>
  <si>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</si>
  <si>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</si>
  <si>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</si>
  <si>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</si>
  <si>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</si>
  <si>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</si>
  <si>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</si>
  <si>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</si>
  <si>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</si>
  <si>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</si>
  <si>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</si>
  <si>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</si>
  <si>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</si>
  <si>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</si>
  <si>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</si>
  <si>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</si>
  <si>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</si>
  <si>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</si>
  <si>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</si>
  <si>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</si>
  <si>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</si>
  <si>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</si>
  <si>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</si>
  <si>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</si>
  <si>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</si>
  <si>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</si>
  <si>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</si>
  <si>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</si>
  <si>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</si>
  <si>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</si>
  <si>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</si>
  <si>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</si>
  <si>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</si>
  <si>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</si>
  <si>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</si>
  <si>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</si>
  <si>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</si>
  <si>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</si>
  <si>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</si>
  <si>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</si>
  <si>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</si>
  <si>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</si>
  <si>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</si>
  <si>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</si>
  <si>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</si>
  <si>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</si>
  <si>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</si>
  <si>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</si>
  <si>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</si>
  <si>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</si>
  <si>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</si>
  <si>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</si>
  <si>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</si>
  <si>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</si>
  <si>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</si>
  <si>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</si>
  <si>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</si>
  <si>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</si>
  <si>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</si>
  <si>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</si>
  <si>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</si>
  <si>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</si>
  <si>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</si>
  <si>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</si>
  <si>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</si>
  <si>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</si>
  <si>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</si>
  <si>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</si>
  <si>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</si>
  <si>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</si>
  <si>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</si>
  <si>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</si>
  <si>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</si>
  <si>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</si>
  <si>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</si>
  <si>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</si>
  <si>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</si>
  <si>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</si>
  <si>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</si>
  <si>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</si>
  <si>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</si>
  <si>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</si>
  <si>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</si>
  <si>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</si>
  <si>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</si>
  <si>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</si>
  <si>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</si>
  <si>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</si>
  <si>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</si>
  <si>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</si>
  <si>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</si>
  <si>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</si>
  <si>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</si>
  <si>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</si>
  <si>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</si>
  <si>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</si>
  <si>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</si>
  <si>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</si>
  <si>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</si>
  <si>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</si>
  <si>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</si>
  <si>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</si>
  <si>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</si>
  <si>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</si>
  <si>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</si>
  <si>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</si>
  <si>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</si>
  <si>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</si>
  <si>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</si>
  <si>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</si>
  <si>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</si>
  <si>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</si>
  <si>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</si>
  <si>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</si>
  <si>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</si>
  <si>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</si>
  <si>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</si>
  <si>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</si>
  <si>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</si>
  <si>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</si>
  <si>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</si>
  <si>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</si>
  <si>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</si>
  <si>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</si>
  <si>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</si>
  <si>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</si>
  <si>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</si>
  <si>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</si>
  <si>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</si>
  <si>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</si>
  <si>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</si>
  <si>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</si>
  <si>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</si>
  <si>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</si>
  <si>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</si>
  <si>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</si>
  <si>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</si>
  <si>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</si>
  <si>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</si>
  <si>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</si>
  <si>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</si>
  <si>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</si>
  <si>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</si>
  <si>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</si>
  <si>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</si>
  <si>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</si>
  <si>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</si>
  <si>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</si>
  <si>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</si>
  <si>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</si>
  <si>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</si>
  <si>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</si>
  <si>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</si>
  <si>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</si>
  <si>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</si>
  <si>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</si>
  <si>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</si>
  <si>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</si>
  <si>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</si>
  <si>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</si>
  <si>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</si>
  <si>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</si>
  <si>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</si>
  <si>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</si>
  <si>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</si>
  <si>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</si>
  <si>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</si>
  <si>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</si>
  <si>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</si>
  <si>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</si>
  <si>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</si>
  <si>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</si>
  <si>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</si>
  <si>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</si>
  <si>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</si>
  <si>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</si>
  <si>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</si>
  <si>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</si>
  <si>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</si>
  <si>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</si>
  <si>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</si>
  <si>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</si>
  <si>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</si>
  <si>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</si>
  <si>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</si>
  <si>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</si>
  <si>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</si>
  <si>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</si>
  <si>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</si>
  <si>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</si>
  <si>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</si>
  <si>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</si>
  <si>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</si>
  <si>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</si>
  <si>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</si>
  <si>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</si>
  <si>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</si>
  <si>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</si>
  <si>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</si>
  <si>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</si>
  <si>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</si>
  <si>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</si>
  <si>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</si>
  <si>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</si>
  <si>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</si>
  <si>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</si>
  <si>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</si>
  <si>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</si>
  <si>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</si>
  <si>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</si>
  <si>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</si>
  <si>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</si>
  <si>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</si>
  <si>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</si>
  <si>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</si>
  <si>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</si>
  <si>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</si>
  <si>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</si>
  <si>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</si>
  <si>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</si>
  <si>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</si>
  <si>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</si>
  <si>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</si>
  <si>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</si>
  <si>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</si>
  <si>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</si>
  <si>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</si>
  <si>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</si>
  <si>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</si>
  <si>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</si>
  <si>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</si>
  <si>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</si>
  <si>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</si>
  <si>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</si>
  <si>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</si>
  <si>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</si>
  <si>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</si>
  <si>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</si>
  <si>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</si>
  <si>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</si>
  <si>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</si>
  <si>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</si>
  <si>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</si>
  <si>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</si>
  <si>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</si>
  <si>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</si>
  <si>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</si>
  <si>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</si>
  <si>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</si>
  <si>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</si>
  <si>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</si>
  <si>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</si>
  <si>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</si>
  <si>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</si>
  <si>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</si>
  <si>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</si>
  <si>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</si>
  <si>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</si>
  <si>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</si>
  <si>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</si>
  <si>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</si>
  <si>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</si>
  <si>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</si>
  <si>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</si>
  <si>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</si>
  <si>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</si>
  <si>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</si>
  <si>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</si>
  <si>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</si>
  <si>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</si>
  <si>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</si>
  <si>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</si>
  <si>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</si>
  <si>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</si>
  <si>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</si>
  <si>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</si>
  <si>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</si>
  <si>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</si>
  <si>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</si>
  <si>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</si>
  <si>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</si>
  <si>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</si>
  <si>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</si>
  <si>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</si>
  <si>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</si>
  <si>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</si>
  <si>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</si>
  <si>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</si>
  <si>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</si>
  <si>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</si>
  <si>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</si>
  <si>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</si>
  <si>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</si>
  <si>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</si>
  <si>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</si>
  <si>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</si>
  <si>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</si>
  <si>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</si>
  <si>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</si>
  <si>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</si>
  <si>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</si>
  <si>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</si>
  <si>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</si>
  <si>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</si>
  <si>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</si>
  <si>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</si>
  <si>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</si>
  <si>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</si>
  <si>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</si>
  <si>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</si>
  <si>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</si>
  <si>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</si>
  <si>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</si>
  <si>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</si>
  <si>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</si>
  <si>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</si>
  <si>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</si>
  <si>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</si>
  <si>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</si>
  <si>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</si>
  <si>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</si>
  <si>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</si>
  <si>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</si>
  <si>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</si>
  <si>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</si>
  <si>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</si>
  <si>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</si>
  <si>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</si>
  <si>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</si>
  <si>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</si>
  <si>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</si>
  <si>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</si>
  <si>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</si>
  <si>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</si>
  <si>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</si>
  <si>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</si>
  <si>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</si>
  <si>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</si>
  <si>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</si>
  <si>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</si>
  <si>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</si>
  <si>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</si>
  <si>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</si>
  <si>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</si>
  <si>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</si>
  <si>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</si>
  <si>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</si>
  <si>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</si>
  <si>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</si>
  <si>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</si>
  <si>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MUZEJ SUVREMENE UMJETNOSTI ISTRE</t>
  </si>
  <si>
    <t>FLANATIČKA 29</t>
  </si>
  <si>
    <t>Ljiljana Brkić</t>
  </si>
  <si>
    <t>052522610</t>
  </si>
  <si>
    <t>racunovodstvo.tomas@inet.hr</t>
  </si>
  <si>
    <t>msui@msu-istre.hr</t>
  </si>
  <si>
    <t>Ketrin Milićević Mijošek</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</si>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</sst>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1045804</v>
      </c>
      <c r="D2" s="63">
        <f>PRRAS!E12</f>
        <v>1062816</v>
      </c>
      <c r="E2" s="63"/>
      <c r="F2" s="63"/>
      <c r="G2" s="64">
        <f t="shared" ref="G2:G65" si="0">(B2/1000)*(C2*1+D2*2)</f>
        <v>3171.4360000000001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44477</v>
      </c>
      <c r="L10" s="50">
        <f>INT(VALUE(RefStr!B6))</f>
        <v>44477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02396025</v>
      </c>
      <c r="L11" s="50">
        <f>INT(VALUE(RefStr!B8))</f>
        <v>2396025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MUZEJ SUVREMENE UMJETNOSTI ISTRE</v>
      </c>
      <c r="L12" s="50">
        <f>LEN(Skriveni!K12)</f>
        <v>32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52100</v>
      </c>
      <c r="L13" s="50">
        <f>INT(VALUE(RefStr!B12))</f>
        <v>52100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PULA</v>
      </c>
      <c r="L14" s="50">
        <f>LEN(Skriveni!K14)</f>
        <v>4</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FLANATIČKA 29</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9102</v>
      </c>
      <c r="L17" s="50">
        <f>INT(VALUE(RefStr!B18))</f>
        <v>9102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359</v>
      </c>
      <c r="L19" s="50">
        <f>INT(VALUE(RefStr!B22))</f>
        <v>359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59485940105</v>
      </c>
      <c r="L21" s="50">
        <f>INT(VALUE(RefStr!K14))</f>
        <v>59485940105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Brkić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052522610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racunovodstvo.tomas@inet.hr</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msui@msu-istre.hr</v>
      </c>
      <c r="L26" s="50">
        <f>LEN(RefStr!H31)</f>
        <v>17</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Ketrin Milićević Mijošek</v>
      </c>
      <c r="L27" s="50">
        <f>LEN(RefStr!H33)</f>
        <v>24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28.985.413,97</v>
      </c>
      <c r="L28" s="50">
        <f>SUM(G2:G1561)</f>
        <v>28985413.964999996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16593593.807999995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11184502.269000001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1084694.835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122623.05300000001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158499</v>
      </c>
      <c r="D46" s="58">
        <f>PRRAS!E56</f>
        <v>135000</v>
      </c>
      <c r="E46" s="58">
        <v>0</v>
      </c>
      <c r="F46" s="58">
        <v>0</v>
      </c>
      <c r="G46" s="59">
        <f t="shared" si="0"/>
        <v>19282.454999999998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158499</v>
      </c>
      <c r="D64" s="58">
        <f>PRRAS!E74</f>
        <v>135000</v>
      </c>
      <c r="E64" s="58">
        <v>0</v>
      </c>
      <c r="F64" s="58">
        <v>0</v>
      </c>
      <c r="G64" s="59">
        <f t="shared" si="0"/>
        <v>26995.437000000002</v>
      </c>
      <c r="H64" s="59">
        <f t="shared" si="1"/>
        <v>0</v>
      </c>
      <c r="I64" s="60">
        <v>0</v>
      </c>
    </row>
    <row r="65" spans="1:9" x14ac:dyDescent="0.2">
      <c r="A65" s="57">
        <v>151</v>
      </c>
      <c r="B65" s="58">
        <f>PRRAS!C75</f>
        <v>64</v>
      </c>
      <c r="C65" s="58">
        <f>PRRAS!D75</f>
        <v>158499</v>
      </c>
      <c r="D65" s="58">
        <f>PRRAS!E75</f>
        <v>135000</v>
      </c>
      <c r="E65" s="58">
        <v>0</v>
      </c>
      <c r="F65" s="58">
        <v>0</v>
      </c>
      <c r="G65" s="59">
        <f t="shared" si="0"/>
        <v>27423.936000000002</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169</v>
      </c>
      <c r="D75" s="58">
        <f>PRRAS!E85</f>
        <v>29</v>
      </c>
      <c r="E75" s="58">
        <v>0</v>
      </c>
      <c r="F75" s="58">
        <v>0</v>
      </c>
      <c r="G75" s="59">
        <f t="shared" si="2"/>
        <v>16.797999999999998</v>
      </c>
      <c r="H75" s="59">
        <f t="shared" si="3"/>
        <v>0</v>
      </c>
      <c r="I75" s="60">
        <v>0</v>
      </c>
    </row>
    <row r="76" spans="1:9" x14ac:dyDescent="0.2">
      <c r="A76" s="57">
        <v>151</v>
      </c>
      <c r="B76" s="58">
        <f>PRRAS!C86</f>
        <v>75</v>
      </c>
      <c r="C76" s="58">
        <f>PRRAS!D86</f>
        <v>169</v>
      </c>
      <c r="D76" s="58">
        <f>PRRAS!E86</f>
        <v>29</v>
      </c>
      <c r="E76" s="58">
        <v>0</v>
      </c>
      <c r="F76" s="58">
        <v>0</v>
      </c>
      <c r="G76" s="59">
        <f t="shared" si="2"/>
        <v>17.024999999999999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169</v>
      </c>
      <c r="D78" s="58">
        <f>PRRAS!E88</f>
        <v>29</v>
      </c>
      <c r="E78" s="58">
        <v>0</v>
      </c>
      <c r="F78" s="58">
        <v>0</v>
      </c>
      <c r="G78" s="59">
        <f t="shared" si="2"/>
        <v>17.478999999999999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0</v>
      </c>
      <c r="E106" s="58">
        <v>0</v>
      </c>
      <c r="F106" s="58">
        <v>0</v>
      </c>
      <c r="G106" s="59">
        <f t="shared" si="2"/>
        <v>0</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0</v>
      </c>
      <c r="E112" s="58">
        <v>0</v>
      </c>
      <c r="F112" s="58">
        <v>0</v>
      </c>
      <c r="G112" s="59">
        <f t="shared" si="2"/>
        <v>0</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0</v>
      </c>
      <c r="E117" s="58">
        <v>0</v>
      </c>
      <c r="F117" s="58">
        <v>0</v>
      </c>
      <c r="G117" s="59">
        <f t="shared" si="2"/>
        <v>0</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40201</v>
      </c>
      <c r="D124" s="58">
        <f>PRRAS!E134</f>
        <v>48232</v>
      </c>
      <c r="E124" s="58">
        <v>0</v>
      </c>
      <c r="F124" s="58">
        <v>0</v>
      </c>
      <c r="G124" s="59">
        <f t="shared" si="2"/>
        <v>16809.794999999998</v>
      </c>
      <c r="H124" s="59">
        <f t="shared" si="3"/>
        <v>0</v>
      </c>
      <c r="I124" s="60">
        <v>0</v>
      </c>
    </row>
    <row r="125" spans="1:9" x14ac:dyDescent="0.2">
      <c r="A125" s="57">
        <v>151</v>
      </c>
      <c r="B125" s="58">
        <f>PRRAS!C135</f>
        <v>124</v>
      </c>
      <c r="C125" s="58">
        <f>PRRAS!D135</f>
        <v>23201</v>
      </c>
      <c r="D125" s="58">
        <f>PRRAS!E135</f>
        <v>25232</v>
      </c>
      <c r="E125" s="58">
        <v>0</v>
      </c>
      <c r="F125" s="58">
        <v>0</v>
      </c>
      <c r="G125" s="59">
        <f t="shared" si="2"/>
        <v>9134.4599999999991</v>
      </c>
      <c r="H125" s="59">
        <f t="shared" si="3"/>
        <v>0</v>
      </c>
      <c r="I125" s="60">
        <v>0</v>
      </c>
    </row>
    <row r="126" spans="1:9" x14ac:dyDescent="0.2">
      <c r="A126" s="57">
        <v>151</v>
      </c>
      <c r="B126" s="58">
        <f>PRRAS!C136</f>
        <v>125</v>
      </c>
      <c r="C126" s="58">
        <f>PRRAS!D136</f>
        <v>4600</v>
      </c>
      <c r="D126" s="58">
        <f>PRRAS!E136</f>
        <v>2665</v>
      </c>
      <c r="E126" s="58">
        <v>0</v>
      </c>
      <c r="F126" s="58">
        <v>0</v>
      </c>
      <c r="G126" s="59">
        <f t="shared" si="2"/>
        <v>1241.25</v>
      </c>
      <c r="H126" s="59">
        <f t="shared" si="3"/>
        <v>0</v>
      </c>
      <c r="I126" s="60">
        <v>0</v>
      </c>
    </row>
    <row r="127" spans="1:9" x14ac:dyDescent="0.2">
      <c r="A127" s="57">
        <v>151</v>
      </c>
      <c r="B127" s="58">
        <f>PRRAS!C137</f>
        <v>126</v>
      </c>
      <c r="C127" s="58">
        <f>PRRAS!D137</f>
        <v>18601</v>
      </c>
      <c r="D127" s="58">
        <f>PRRAS!E137</f>
        <v>22567</v>
      </c>
      <c r="E127" s="58">
        <v>0</v>
      </c>
      <c r="F127" s="58">
        <v>0</v>
      </c>
      <c r="G127" s="59">
        <f t="shared" si="2"/>
        <v>8030.61</v>
      </c>
      <c r="H127" s="59">
        <f t="shared" si="3"/>
        <v>0</v>
      </c>
      <c r="I127" s="60">
        <v>0</v>
      </c>
    </row>
    <row r="128" spans="1:9" x14ac:dyDescent="0.2">
      <c r="A128" s="57">
        <v>151</v>
      </c>
      <c r="B128" s="58">
        <f>PRRAS!C138</f>
        <v>127</v>
      </c>
      <c r="C128" s="58">
        <f>PRRAS!D138</f>
        <v>17000</v>
      </c>
      <c r="D128" s="58">
        <f>PRRAS!E138</f>
        <v>23000</v>
      </c>
      <c r="E128" s="58">
        <v>0</v>
      </c>
      <c r="F128" s="58">
        <v>0</v>
      </c>
      <c r="G128" s="59">
        <f t="shared" si="2"/>
        <v>8001</v>
      </c>
      <c r="H128" s="59">
        <f t="shared" si="3"/>
        <v>0</v>
      </c>
      <c r="I128" s="60">
        <v>0</v>
      </c>
    </row>
    <row r="129" spans="1:9" x14ac:dyDescent="0.2">
      <c r="A129" s="57">
        <v>151</v>
      </c>
      <c r="B129" s="58">
        <f>PRRAS!C139</f>
        <v>128</v>
      </c>
      <c r="C129" s="58">
        <f>PRRAS!D139</f>
        <v>17000</v>
      </c>
      <c r="D129" s="58">
        <f>PRRAS!E139</f>
        <v>23000</v>
      </c>
      <c r="E129" s="58">
        <v>0</v>
      </c>
      <c r="F129" s="58">
        <v>0</v>
      </c>
      <c r="G129" s="59">
        <f t="shared" si="2"/>
        <v>8064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845792</v>
      </c>
      <c r="D131" s="58">
        <f>PRRAS!E141</f>
        <v>879555</v>
      </c>
      <c r="E131" s="58">
        <v>0</v>
      </c>
      <c r="F131" s="58">
        <v>0</v>
      </c>
      <c r="G131" s="59">
        <f t="shared" si="4"/>
        <v>338637.26</v>
      </c>
      <c r="H131" s="59">
        <f t="shared" si="5"/>
        <v>0</v>
      </c>
      <c r="I131" s="60">
        <v>0</v>
      </c>
    </row>
    <row r="132" spans="1:9" x14ac:dyDescent="0.2">
      <c r="A132" s="57">
        <v>151</v>
      </c>
      <c r="B132" s="58">
        <f>PRRAS!C142</f>
        <v>131</v>
      </c>
      <c r="C132" s="58">
        <f>PRRAS!D142</f>
        <v>845792</v>
      </c>
      <c r="D132" s="58">
        <f>PRRAS!E142</f>
        <v>879555</v>
      </c>
      <c r="E132" s="58">
        <v>0</v>
      </c>
      <c r="F132" s="58">
        <v>0</v>
      </c>
      <c r="G132" s="59">
        <f t="shared" si="4"/>
        <v>341242.16200000001</v>
      </c>
      <c r="H132" s="59">
        <f t="shared" si="5"/>
        <v>0</v>
      </c>
      <c r="I132" s="60">
        <v>0</v>
      </c>
    </row>
    <row r="133" spans="1:9" x14ac:dyDescent="0.2">
      <c r="A133" s="57">
        <v>151</v>
      </c>
      <c r="B133" s="58">
        <f>PRRAS!C143</f>
        <v>132</v>
      </c>
      <c r="C133" s="58">
        <f>PRRAS!D143</f>
        <v>845792</v>
      </c>
      <c r="D133" s="58">
        <f>PRRAS!E143</f>
        <v>879555</v>
      </c>
      <c r="E133" s="58">
        <v>0</v>
      </c>
      <c r="F133" s="58">
        <v>0</v>
      </c>
      <c r="G133" s="59">
        <f t="shared" si="4"/>
        <v>343847.06400000001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1143</v>
      </c>
      <c r="D137" s="58">
        <f>PRRAS!E147</f>
        <v>0</v>
      </c>
      <c r="E137" s="58">
        <v>0</v>
      </c>
      <c r="F137" s="58">
        <v>0</v>
      </c>
      <c r="G137" s="59">
        <f t="shared" si="4"/>
        <v>155.44800000000001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1143</v>
      </c>
      <c r="D148" s="58">
        <f>PRRAS!E158</f>
        <v>0</v>
      </c>
      <c r="E148" s="58">
        <v>0</v>
      </c>
      <c r="F148" s="58">
        <v>0</v>
      </c>
      <c r="G148" s="59">
        <f t="shared" si="4"/>
        <v>168.02099999999999</v>
      </c>
      <c r="H148" s="59">
        <f t="shared" si="5"/>
        <v>0</v>
      </c>
      <c r="I148" s="60">
        <v>0</v>
      </c>
    </row>
    <row r="149" spans="1:9" x14ac:dyDescent="0.2">
      <c r="A149" s="57">
        <v>151</v>
      </c>
      <c r="B149" s="58">
        <f>PRRAS!C159</f>
        <v>148</v>
      </c>
      <c r="C149" s="58">
        <f>PRRAS!D159</f>
        <v>850772</v>
      </c>
      <c r="D149" s="58">
        <f>PRRAS!E159</f>
        <v>979008</v>
      </c>
      <c r="E149" s="58">
        <v>0</v>
      </c>
      <c r="F149" s="58">
        <v>0</v>
      </c>
      <c r="G149" s="59">
        <f t="shared" si="4"/>
        <v>415700.62399999995</v>
      </c>
      <c r="H149" s="59">
        <f t="shared" si="5"/>
        <v>0</v>
      </c>
      <c r="I149" s="60">
        <v>0</v>
      </c>
    </row>
    <row r="150" spans="1:9" x14ac:dyDescent="0.2">
      <c r="A150" s="57">
        <v>151</v>
      </c>
      <c r="B150" s="58">
        <f>PRRAS!C160</f>
        <v>149</v>
      </c>
      <c r="C150" s="58">
        <f>PRRAS!D160</f>
        <v>371049</v>
      </c>
      <c r="D150" s="58">
        <f>PRRAS!E160</f>
        <v>510202</v>
      </c>
      <c r="E150" s="58">
        <v>0</v>
      </c>
      <c r="F150" s="58">
        <v>0</v>
      </c>
      <c r="G150" s="59">
        <f t="shared" si="4"/>
        <v>207326.497</v>
      </c>
      <c r="H150" s="59">
        <f t="shared" si="5"/>
        <v>0</v>
      </c>
      <c r="I150" s="60">
        <v>0</v>
      </c>
    </row>
    <row r="151" spans="1:9" x14ac:dyDescent="0.2">
      <c r="A151" s="57">
        <v>151</v>
      </c>
      <c r="B151" s="58">
        <f>PRRAS!C161</f>
        <v>150</v>
      </c>
      <c r="C151" s="58">
        <f>PRRAS!D161</f>
        <v>253276</v>
      </c>
      <c r="D151" s="58">
        <f>PRRAS!E161</f>
        <v>342308</v>
      </c>
      <c r="E151" s="58">
        <v>0</v>
      </c>
      <c r="F151" s="58">
        <v>0</v>
      </c>
      <c r="G151" s="59">
        <f t="shared" si="4"/>
        <v>140683.79999999999</v>
      </c>
      <c r="H151" s="59">
        <f t="shared" si="5"/>
        <v>0</v>
      </c>
      <c r="I151" s="60">
        <v>0</v>
      </c>
    </row>
    <row r="152" spans="1:9" x14ac:dyDescent="0.2">
      <c r="A152" s="57">
        <v>151</v>
      </c>
      <c r="B152" s="58">
        <f>PRRAS!C162</f>
        <v>151</v>
      </c>
      <c r="C152" s="58">
        <f>PRRAS!D162</f>
        <v>253276</v>
      </c>
      <c r="D152" s="58">
        <f>PRRAS!E162</f>
        <v>342308</v>
      </c>
      <c r="E152" s="58">
        <v>0</v>
      </c>
      <c r="F152" s="58">
        <v>0</v>
      </c>
      <c r="G152" s="59">
        <f t="shared" si="4"/>
        <v>141621.69200000001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0</v>
      </c>
      <c r="D156" s="58">
        <f>PRRAS!E166</f>
        <v>8721</v>
      </c>
      <c r="E156" s="58">
        <v>0</v>
      </c>
      <c r="F156" s="58">
        <v>0</v>
      </c>
      <c r="G156" s="59">
        <f t="shared" si="4"/>
        <v>2703.5099999999998</v>
      </c>
      <c r="H156" s="59">
        <f t="shared" si="5"/>
        <v>0</v>
      </c>
      <c r="I156" s="60">
        <v>0</v>
      </c>
    </row>
    <row r="157" spans="1:9" x14ac:dyDescent="0.2">
      <c r="A157" s="57">
        <v>151</v>
      </c>
      <c r="B157" s="58">
        <f>PRRAS!C167</f>
        <v>156</v>
      </c>
      <c r="C157" s="58">
        <f>PRRAS!D167</f>
        <v>117773</v>
      </c>
      <c r="D157" s="58">
        <f>PRRAS!E167</f>
        <v>159173</v>
      </c>
      <c r="E157" s="58">
        <v>0</v>
      </c>
      <c r="F157" s="58">
        <v>0</v>
      </c>
      <c r="G157" s="59">
        <f t="shared" si="4"/>
        <v>68034.563999999998</v>
      </c>
      <c r="H157" s="59">
        <f t="shared" si="5"/>
        <v>0</v>
      </c>
      <c r="I157" s="60">
        <v>0</v>
      </c>
    </row>
    <row r="158" spans="1:9" x14ac:dyDescent="0.2">
      <c r="A158" s="57">
        <v>151</v>
      </c>
      <c r="B158" s="58">
        <f>PRRAS!C168</f>
        <v>157</v>
      </c>
      <c r="C158" s="58">
        <f>PRRAS!D168</f>
        <v>63319</v>
      </c>
      <c r="D158" s="58">
        <f>PRRAS!E168</f>
        <v>85577</v>
      </c>
      <c r="E158" s="58">
        <v>0</v>
      </c>
      <c r="F158" s="58">
        <v>0</v>
      </c>
      <c r="G158" s="59">
        <f t="shared" si="4"/>
        <v>36812.260999999999</v>
      </c>
      <c r="H158" s="59">
        <f t="shared" si="5"/>
        <v>0</v>
      </c>
      <c r="I158" s="60">
        <v>0</v>
      </c>
    </row>
    <row r="159" spans="1:9" x14ac:dyDescent="0.2">
      <c r="A159" s="57">
        <v>151</v>
      </c>
      <c r="B159" s="58">
        <f>PRRAS!C169</f>
        <v>158</v>
      </c>
      <c r="C159" s="58">
        <f>PRRAS!D169</f>
        <v>49072</v>
      </c>
      <c r="D159" s="58">
        <f>PRRAS!E169</f>
        <v>66322</v>
      </c>
      <c r="E159" s="58">
        <v>0</v>
      </c>
      <c r="F159" s="58">
        <v>0</v>
      </c>
      <c r="G159" s="59">
        <f t="shared" si="4"/>
        <v>28711.128000000001</v>
      </c>
      <c r="H159" s="59">
        <f t="shared" si="5"/>
        <v>0</v>
      </c>
      <c r="I159" s="60">
        <v>0</v>
      </c>
    </row>
    <row r="160" spans="1:9" x14ac:dyDescent="0.2">
      <c r="A160" s="57">
        <v>151</v>
      </c>
      <c r="B160" s="58">
        <f>PRRAS!C170</f>
        <v>159</v>
      </c>
      <c r="C160" s="58">
        <f>PRRAS!D170</f>
        <v>5382</v>
      </c>
      <c r="D160" s="58">
        <f>PRRAS!E170</f>
        <v>7274</v>
      </c>
      <c r="E160" s="58">
        <v>0</v>
      </c>
      <c r="F160" s="58">
        <v>0</v>
      </c>
      <c r="G160" s="59">
        <f t="shared" si="4"/>
        <v>3168.87</v>
      </c>
      <c r="H160" s="59">
        <f t="shared" si="5"/>
        <v>0</v>
      </c>
      <c r="I160" s="60">
        <v>0</v>
      </c>
    </row>
    <row r="161" spans="1:9" x14ac:dyDescent="0.2">
      <c r="A161" s="57">
        <v>151</v>
      </c>
      <c r="B161" s="58">
        <f>PRRAS!C171</f>
        <v>160</v>
      </c>
      <c r="C161" s="58">
        <f>PRRAS!D171</f>
        <v>477901</v>
      </c>
      <c r="D161" s="58">
        <f>PRRAS!E171</f>
        <v>466757</v>
      </c>
      <c r="E161" s="58">
        <v>0</v>
      </c>
      <c r="F161" s="58">
        <v>0</v>
      </c>
      <c r="G161" s="59">
        <f t="shared" si="4"/>
        <v>225826.4</v>
      </c>
      <c r="H161" s="59">
        <f t="shared" si="5"/>
        <v>0</v>
      </c>
      <c r="I161" s="60">
        <v>0</v>
      </c>
    </row>
    <row r="162" spans="1:9" x14ac:dyDescent="0.2">
      <c r="A162" s="57">
        <v>151</v>
      </c>
      <c r="B162" s="58">
        <f>PRRAS!C172</f>
        <v>161</v>
      </c>
      <c r="C162" s="58">
        <f>PRRAS!D172</f>
        <v>18683</v>
      </c>
      <c r="D162" s="58">
        <f>PRRAS!E172</f>
        <v>20838</v>
      </c>
      <c r="E162" s="58">
        <v>0</v>
      </c>
      <c r="F162" s="58">
        <v>0</v>
      </c>
      <c r="G162" s="59">
        <f t="shared" si="4"/>
        <v>9717.7990000000009</v>
      </c>
      <c r="H162" s="59">
        <f t="shared" si="5"/>
        <v>0</v>
      </c>
      <c r="I162" s="60">
        <v>0</v>
      </c>
    </row>
    <row r="163" spans="1:9" x14ac:dyDescent="0.2">
      <c r="A163" s="57">
        <v>151</v>
      </c>
      <c r="B163" s="58">
        <f>PRRAS!C173</f>
        <v>162</v>
      </c>
      <c r="C163" s="58">
        <f>PRRAS!D173</f>
        <v>2027</v>
      </c>
      <c r="D163" s="58">
        <f>PRRAS!E173</f>
        <v>3651</v>
      </c>
      <c r="E163" s="58">
        <v>0</v>
      </c>
      <c r="F163" s="58">
        <v>0</v>
      </c>
      <c r="G163" s="59">
        <f t="shared" si="4"/>
        <v>1511.298</v>
      </c>
      <c r="H163" s="59">
        <f t="shared" si="5"/>
        <v>0</v>
      </c>
      <c r="I163" s="60">
        <v>0</v>
      </c>
    </row>
    <row r="164" spans="1:9" x14ac:dyDescent="0.2">
      <c r="A164" s="57">
        <v>151</v>
      </c>
      <c r="B164" s="58">
        <f>PRRAS!C174</f>
        <v>163</v>
      </c>
      <c r="C164" s="58">
        <f>PRRAS!D174</f>
        <v>16056</v>
      </c>
      <c r="D164" s="58">
        <f>PRRAS!E174</f>
        <v>15675</v>
      </c>
      <c r="E164" s="58">
        <v>0</v>
      </c>
      <c r="F164" s="58">
        <v>0</v>
      </c>
      <c r="G164" s="59">
        <f t="shared" si="4"/>
        <v>7727.1779999999999</v>
      </c>
      <c r="H164" s="59">
        <f t="shared" si="5"/>
        <v>0</v>
      </c>
      <c r="I164" s="60">
        <v>0</v>
      </c>
    </row>
    <row r="165" spans="1:9" x14ac:dyDescent="0.2">
      <c r="A165" s="57">
        <v>151</v>
      </c>
      <c r="B165" s="58">
        <f>PRRAS!C175</f>
        <v>164</v>
      </c>
      <c r="C165" s="58">
        <f>PRRAS!D175</f>
        <v>0</v>
      </c>
      <c r="D165" s="58">
        <f>PRRAS!E175</f>
        <v>0</v>
      </c>
      <c r="E165" s="58">
        <v>0</v>
      </c>
      <c r="F165" s="58">
        <v>0</v>
      </c>
      <c r="G165" s="59">
        <f t="shared" si="4"/>
        <v>0</v>
      </c>
      <c r="H165" s="59">
        <f t="shared" si="5"/>
        <v>0</v>
      </c>
      <c r="I165" s="60">
        <v>0</v>
      </c>
    </row>
    <row r="166" spans="1:9" x14ac:dyDescent="0.2">
      <c r="A166" s="57">
        <v>151</v>
      </c>
      <c r="B166" s="58">
        <f>PRRAS!C176</f>
        <v>165</v>
      </c>
      <c r="C166" s="58">
        <f>PRRAS!D176</f>
        <v>600</v>
      </c>
      <c r="D166" s="58">
        <f>PRRAS!E176</f>
        <v>1512</v>
      </c>
      <c r="E166" s="58">
        <v>0</v>
      </c>
      <c r="F166" s="58">
        <v>0</v>
      </c>
      <c r="G166" s="59">
        <f t="shared" si="4"/>
        <v>597.96</v>
      </c>
      <c r="H166" s="59">
        <f t="shared" si="5"/>
        <v>0</v>
      </c>
      <c r="I166" s="60">
        <v>0</v>
      </c>
    </row>
    <row r="167" spans="1:9" x14ac:dyDescent="0.2">
      <c r="A167" s="57">
        <v>151</v>
      </c>
      <c r="B167" s="58">
        <f>PRRAS!C177</f>
        <v>166</v>
      </c>
      <c r="C167" s="58">
        <f>PRRAS!D177</f>
        <v>66906</v>
      </c>
      <c r="D167" s="58">
        <f>PRRAS!E177</f>
        <v>58832</v>
      </c>
      <c r="E167" s="58">
        <v>0</v>
      </c>
      <c r="F167" s="58">
        <v>0</v>
      </c>
      <c r="G167" s="59">
        <f t="shared" si="4"/>
        <v>30638.620000000003</v>
      </c>
      <c r="H167" s="59">
        <f t="shared" si="5"/>
        <v>0</v>
      </c>
      <c r="I167" s="60">
        <v>0</v>
      </c>
    </row>
    <row r="168" spans="1:9" x14ac:dyDescent="0.2">
      <c r="A168" s="57">
        <v>151</v>
      </c>
      <c r="B168" s="58">
        <f>PRRAS!C178</f>
        <v>167</v>
      </c>
      <c r="C168" s="58">
        <f>PRRAS!D178</f>
        <v>23634</v>
      </c>
      <c r="D168" s="58">
        <f>PRRAS!E178</f>
        <v>18800</v>
      </c>
      <c r="E168" s="58">
        <v>0</v>
      </c>
      <c r="F168" s="58">
        <v>0</v>
      </c>
      <c r="G168" s="59">
        <f t="shared" si="4"/>
        <v>10226.078000000001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23289</v>
      </c>
      <c r="D170" s="58">
        <f>PRRAS!E180</f>
        <v>18330</v>
      </c>
      <c r="E170" s="58">
        <v>0</v>
      </c>
      <c r="F170" s="58">
        <v>0</v>
      </c>
      <c r="G170" s="59">
        <f t="shared" si="4"/>
        <v>10131.381000000001</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19983</v>
      </c>
      <c r="D172" s="58">
        <f>PRRAS!E182</f>
        <v>21702</v>
      </c>
      <c r="E172" s="58">
        <v>0</v>
      </c>
      <c r="F172" s="58">
        <v>0</v>
      </c>
      <c r="G172" s="59">
        <f t="shared" si="4"/>
        <v>10839.177000000001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364356</v>
      </c>
      <c r="D175" s="58">
        <f>PRRAS!E185</f>
        <v>373403</v>
      </c>
      <c r="E175" s="58">
        <v>0</v>
      </c>
      <c r="F175" s="58">
        <v>0</v>
      </c>
      <c r="G175" s="59">
        <f t="shared" si="4"/>
        <v>193342.18799999999</v>
      </c>
      <c r="H175" s="59">
        <f t="shared" si="5"/>
        <v>0</v>
      </c>
      <c r="I175" s="60">
        <v>0</v>
      </c>
    </row>
    <row r="176" spans="1:9" x14ac:dyDescent="0.2">
      <c r="A176" s="57">
        <v>151</v>
      </c>
      <c r="B176" s="58">
        <f>PRRAS!C186</f>
        <v>175</v>
      </c>
      <c r="C176" s="58">
        <f>PRRAS!D186</f>
        <v>22561</v>
      </c>
      <c r="D176" s="58">
        <f>PRRAS!E186</f>
        <v>18625</v>
      </c>
      <c r="E176" s="58">
        <v>0</v>
      </c>
      <c r="F176" s="58">
        <v>0</v>
      </c>
      <c r="G176" s="59">
        <f t="shared" si="4"/>
        <v>10466.924999999999</v>
      </c>
      <c r="H176" s="59">
        <f t="shared" si="5"/>
        <v>0</v>
      </c>
      <c r="I176" s="60">
        <v>0</v>
      </c>
    </row>
    <row r="177" spans="1:9" x14ac:dyDescent="0.2">
      <c r="A177" s="57">
        <v>151</v>
      </c>
      <c r="B177" s="58">
        <f>PRRAS!C187</f>
        <v>176</v>
      </c>
      <c r="C177" s="58">
        <f>PRRAS!D187</f>
        <v>0</v>
      </c>
      <c r="D177" s="58">
        <f>PRRAS!E187</f>
        <v>0</v>
      </c>
      <c r="E177" s="58">
        <v>0</v>
      </c>
      <c r="F177" s="58">
        <v>0</v>
      </c>
      <c r="G177" s="59">
        <f t="shared" si="4"/>
        <v>0</v>
      </c>
      <c r="H177" s="59">
        <f t="shared" si="5"/>
        <v>0</v>
      </c>
      <c r="I177" s="60">
        <v>0</v>
      </c>
    </row>
    <row r="178" spans="1:9" x14ac:dyDescent="0.2">
      <c r="A178" s="57">
        <v>151</v>
      </c>
      <c r="B178" s="58">
        <f>PRRAS!C188</f>
        <v>177</v>
      </c>
      <c r="C178" s="58">
        <f>PRRAS!D188</f>
        <v>23500</v>
      </c>
      <c r="D178" s="58">
        <f>PRRAS!E188</f>
        <v>9500</v>
      </c>
      <c r="E178" s="58">
        <v>0</v>
      </c>
      <c r="F178" s="58">
        <v>0</v>
      </c>
      <c r="G178" s="59">
        <f t="shared" si="4"/>
        <v>7522.5</v>
      </c>
      <c r="H178" s="59">
        <f t="shared" si="5"/>
        <v>0</v>
      </c>
      <c r="I178" s="60">
        <v>0</v>
      </c>
    </row>
    <row r="179" spans="1:9" x14ac:dyDescent="0.2">
      <c r="A179" s="57">
        <v>151</v>
      </c>
      <c r="B179" s="58">
        <f>PRRAS!C189</f>
        <v>178</v>
      </c>
      <c r="C179" s="58">
        <f>PRRAS!D189</f>
        <v>24591</v>
      </c>
      <c r="D179" s="58">
        <f>PRRAS!E189</f>
        <v>24645</v>
      </c>
      <c r="E179" s="58">
        <v>0</v>
      </c>
      <c r="F179" s="58">
        <v>0</v>
      </c>
      <c r="G179" s="59">
        <f t="shared" si="4"/>
        <v>13150.817999999999</v>
      </c>
      <c r="H179" s="59">
        <f t="shared" si="5"/>
        <v>0</v>
      </c>
      <c r="I179" s="60">
        <v>0</v>
      </c>
    </row>
    <row r="180" spans="1:9" x14ac:dyDescent="0.2">
      <c r="A180" s="57">
        <v>151</v>
      </c>
      <c r="B180" s="58">
        <f>PRRAS!C190</f>
        <v>179</v>
      </c>
      <c r="C180" s="58">
        <f>PRRAS!D190</f>
        <v>9982</v>
      </c>
      <c r="D180" s="58">
        <f>PRRAS!E190</f>
        <v>12799</v>
      </c>
      <c r="E180" s="58">
        <v>0</v>
      </c>
      <c r="F180" s="58">
        <v>0</v>
      </c>
      <c r="G180" s="59">
        <f t="shared" si="4"/>
        <v>6368.82</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170077</v>
      </c>
      <c r="D182" s="58">
        <f>PRRAS!E192</f>
        <v>187556</v>
      </c>
      <c r="E182" s="58">
        <v>0</v>
      </c>
      <c r="F182" s="58">
        <v>0</v>
      </c>
      <c r="G182" s="59">
        <f t="shared" si="4"/>
        <v>98679.209000000003</v>
      </c>
      <c r="H182" s="59">
        <f t="shared" si="5"/>
        <v>0</v>
      </c>
      <c r="I182" s="60">
        <v>0</v>
      </c>
    </row>
    <row r="183" spans="1:9" x14ac:dyDescent="0.2">
      <c r="A183" s="57">
        <v>151</v>
      </c>
      <c r="B183" s="58">
        <f>PRRAS!C193</f>
        <v>182</v>
      </c>
      <c r="C183" s="58">
        <f>PRRAS!D193</f>
        <v>2755</v>
      </c>
      <c r="D183" s="58">
        <f>PRRAS!E193</f>
        <v>2000</v>
      </c>
      <c r="E183" s="58">
        <v>0</v>
      </c>
      <c r="F183" s="58">
        <v>0</v>
      </c>
      <c r="G183" s="59">
        <f t="shared" si="4"/>
        <v>1229.4099999999999</v>
      </c>
      <c r="H183" s="59">
        <f t="shared" si="5"/>
        <v>0</v>
      </c>
      <c r="I183" s="60">
        <v>0</v>
      </c>
    </row>
    <row r="184" spans="1:9" x14ac:dyDescent="0.2">
      <c r="A184" s="57">
        <v>151</v>
      </c>
      <c r="B184" s="58">
        <f>PRRAS!C194</f>
        <v>183</v>
      </c>
      <c r="C184" s="58">
        <f>PRRAS!D194</f>
        <v>110890</v>
      </c>
      <c r="D184" s="58">
        <f>PRRAS!E194</f>
        <v>118278</v>
      </c>
      <c r="E184" s="58">
        <v>0</v>
      </c>
      <c r="F184" s="58">
        <v>0</v>
      </c>
      <c r="G184" s="59">
        <f t="shared" si="4"/>
        <v>63582.618000000002</v>
      </c>
      <c r="H184" s="59">
        <f t="shared" si="5"/>
        <v>0</v>
      </c>
      <c r="I184" s="60">
        <v>0</v>
      </c>
    </row>
    <row r="185" spans="1:9" x14ac:dyDescent="0.2">
      <c r="A185" s="57">
        <v>151</v>
      </c>
      <c r="B185" s="58">
        <f>PRRAS!C195</f>
        <v>184</v>
      </c>
      <c r="C185" s="58">
        <f>PRRAS!D195</f>
        <v>6834</v>
      </c>
      <c r="D185" s="58">
        <f>PRRAS!E195</f>
        <v>0</v>
      </c>
      <c r="E185" s="58">
        <v>0</v>
      </c>
      <c r="F185" s="58">
        <v>0</v>
      </c>
      <c r="G185" s="59">
        <f t="shared" si="4"/>
        <v>1257.4559999999999</v>
      </c>
      <c r="H185" s="59">
        <f t="shared" si="5"/>
        <v>0</v>
      </c>
      <c r="I185" s="60">
        <v>0</v>
      </c>
    </row>
    <row r="186" spans="1:9" x14ac:dyDescent="0.2">
      <c r="A186" s="57">
        <v>151</v>
      </c>
      <c r="B186" s="58">
        <f>PRRAS!C196</f>
        <v>185</v>
      </c>
      <c r="C186" s="58">
        <f>PRRAS!D196</f>
        <v>21122</v>
      </c>
      <c r="D186" s="58">
        <f>PRRAS!E196</f>
        <v>13684</v>
      </c>
      <c r="E186" s="58">
        <v>0</v>
      </c>
      <c r="F186" s="58">
        <v>0</v>
      </c>
      <c r="G186" s="59">
        <f t="shared" si="4"/>
        <v>8970.65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13802</v>
      </c>
      <c r="D188" s="58">
        <f>PRRAS!E198</f>
        <v>8121</v>
      </c>
      <c r="E188" s="58">
        <v>0</v>
      </c>
      <c r="F188" s="58">
        <v>0</v>
      </c>
      <c r="G188" s="59">
        <f t="shared" si="4"/>
        <v>5618.2280000000001</v>
      </c>
      <c r="H188" s="59">
        <f t="shared" si="5"/>
        <v>0</v>
      </c>
      <c r="I188" s="60">
        <v>0</v>
      </c>
    </row>
    <row r="189" spans="1:9" x14ac:dyDescent="0.2">
      <c r="A189" s="57">
        <v>151</v>
      </c>
      <c r="B189" s="58">
        <f>PRRAS!C199</f>
        <v>188</v>
      </c>
      <c r="C189" s="58">
        <f>PRRAS!D199</f>
        <v>4585</v>
      </c>
      <c r="D189" s="58">
        <f>PRRAS!E199</f>
        <v>3563</v>
      </c>
      <c r="E189" s="58">
        <v>0</v>
      </c>
      <c r="F189" s="58">
        <v>0</v>
      </c>
      <c r="G189" s="59">
        <f t="shared" si="4"/>
        <v>2201.6680000000001</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1214</v>
      </c>
      <c r="D191" s="58">
        <f>PRRAS!E201</f>
        <v>1000</v>
      </c>
      <c r="E191" s="58">
        <v>0</v>
      </c>
      <c r="F191" s="58">
        <v>0</v>
      </c>
      <c r="G191" s="59">
        <f t="shared" si="4"/>
        <v>610.66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1521</v>
      </c>
      <c r="D193" s="58">
        <f>PRRAS!E203</f>
        <v>1000</v>
      </c>
      <c r="E193" s="58">
        <v>0</v>
      </c>
      <c r="F193" s="58">
        <v>0</v>
      </c>
      <c r="G193" s="59">
        <f t="shared" si="4"/>
        <v>676.03200000000004</v>
      </c>
      <c r="H193" s="59">
        <f t="shared" si="5"/>
        <v>0</v>
      </c>
      <c r="I193" s="60">
        <v>0</v>
      </c>
    </row>
    <row r="194" spans="1:9" x14ac:dyDescent="0.2">
      <c r="A194" s="57">
        <v>151</v>
      </c>
      <c r="B194" s="58">
        <f>PRRAS!C204</f>
        <v>193</v>
      </c>
      <c r="C194" s="58">
        <f>PRRAS!D204</f>
        <v>1822</v>
      </c>
      <c r="D194" s="58">
        <f>PRRAS!E204</f>
        <v>2049</v>
      </c>
      <c r="E194" s="58">
        <v>0</v>
      </c>
      <c r="F194" s="58">
        <v>0</v>
      </c>
      <c r="G194" s="59">
        <f t="shared" ref="G194:G257" si="6">(B194/1000)*(C194*1+D194*2)</f>
        <v>1142.56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1822</v>
      </c>
      <c r="D208" s="58">
        <f>PRRAS!E218</f>
        <v>2049</v>
      </c>
      <c r="E208" s="58">
        <v>0</v>
      </c>
      <c r="F208" s="58">
        <v>0</v>
      </c>
      <c r="G208" s="59">
        <f t="shared" si="6"/>
        <v>1225.4399999999998</v>
      </c>
      <c r="H208" s="59">
        <f t="shared" si="7"/>
        <v>0</v>
      </c>
      <c r="I208" s="60">
        <v>0</v>
      </c>
    </row>
    <row r="209" spans="1:9" x14ac:dyDescent="0.2">
      <c r="A209" s="57">
        <v>151</v>
      </c>
      <c r="B209" s="58">
        <f>PRRAS!C219</f>
        <v>208</v>
      </c>
      <c r="C209" s="58">
        <f>PRRAS!D219</f>
        <v>1822</v>
      </c>
      <c r="D209" s="58">
        <f>PRRAS!E219</f>
        <v>2049</v>
      </c>
      <c r="E209" s="58">
        <v>0</v>
      </c>
      <c r="F209" s="58">
        <v>0</v>
      </c>
      <c r="G209" s="59">
        <f t="shared" si="6"/>
        <v>1231.3599999999999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850772</v>
      </c>
      <c r="D282" s="58">
        <f>PRRAS!E292</f>
        <v>979008</v>
      </c>
      <c r="E282" s="58">
        <v>0</v>
      </c>
      <c r="F282" s="58">
        <v>0</v>
      </c>
      <c r="G282" s="59">
        <f t="shared" si="8"/>
        <v>789269.42800000007</v>
      </c>
      <c r="H282" s="59">
        <f t="shared" si="9"/>
        <v>0</v>
      </c>
      <c r="I282" s="60">
        <v>0</v>
      </c>
    </row>
    <row r="283" spans="1:9" x14ac:dyDescent="0.2">
      <c r="A283" s="57">
        <v>151</v>
      </c>
      <c r="B283" s="58">
        <f>PRRAS!C293</f>
        <v>282</v>
      </c>
      <c r="C283" s="58">
        <f>PRRAS!D293</f>
        <v>195032</v>
      </c>
      <c r="D283" s="58">
        <f>PRRAS!E293</f>
        <v>83808</v>
      </c>
      <c r="E283" s="58">
        <v>0</v>
      </c>
      <c r="F283" s="58">
        <v>0</v>
      </c>
      <c r="G283" s="59">
        <f t="shared" si="8"/>
        <v>102266.73599999999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61704</v>
      </c>
      <c r="D285" s="58">
        <f>PRRAS!E295</f>
        <v>9486</v>
      </c>
      <c r="E285" s="58">
        <v>0</v>
      </c>
      <c r="F285" s="58">
        <v>0</v>
      </c>
      <c r="G285" s="59">
        <f t="shared" si="8"/>
        <v>22911.983999999997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179335</v>
      </c>
      <c r="D342" s="58">
        <f>PRRAS!E353</f>
        <v>77960</v>
      </c>
      <c r="E342" s="58">
        <v>0</v>
      </c>
      <c r="F342" s="58">
        <v>0</v>
      </c>
      <c r="G342" s="59">
        <f t="shared" si="10"/>
        <v>114321.955</v>
      </c>
      <c r="H342" s="59">
        <f t="shared" si="11"/>
        <v>0</v>
      </c>
      <c r="I342" s="60">
        <v>0</v>
      </c>
    </row>
    <row r="343" spans="1:9" x14ac:dyDescent="0.2">
      <c r="A343" s="57">
        <v>151</v>
      </c>
      <c r="B343" s="58">
        <f>PRRAS!C354</f>
        <v>342</v>
      </c>
      <c r="C343" s="58">
        <f>PRRAS!D354</f>
        <v>159152</v>
      </c>
      <c r="D343" s="58">
        <f>PRRAS!E354</f>
        <v>60929</v>
      </c>
      <c r="E343" s="58">
        <v>0</v>
      </c>
      <c r="F343" s="58">
        <v>0</v>
      </c>
      <c r="G343" s="59">
        <f t="shared" si="10"/>
        <v>96105.420000000013</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159152</v>
      </c>
      <c r="D348" s="58">
        <f>PRRAS!E359</f>
        <v>60929</v>
      </c>
      <c r="E348" s="58">
        <v>0</v>
      </c>
      <c r="F348" s="58">
        <v>0</v>
      </c>
      <c r="G348" s="59">
        <f t="shared" si="10"/>
        <v>97510.469999999987</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159152</v>
      </c>
      <c r="D352" s="58">
        <f>PRRAS!E363</f>
        <v>60929</v>
      </c>
      <c r="E352" s="58">
        <v>0</v>
      </c>
      <c r="F352" s="58">
        <v>0</v>
      </c>
      <c r="G352" s="59">
        <f t="shared" si="10"/>
        <v>98634.51</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20183</v>
      </c>
      <c r="D355" s="58">
        <f>PRRAS!E366</f>
        <v>17031</v>
      </c>
      <c r="E355" s="58">
        <v>0</v>
      </c>
      <c r="F355" s="58">
        <v>0</v>
      </c>
      <c r="G355" s="59">
        <f t="shared" si="10"/>
        <v>19202.73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20183</v>
      </c>
      <c r="D361" s="58">
        <f>PRRAS!E372</f>
        <v>17031</v>
      </c>
      <c r="E361" s="58">
        <v>0</v>
      </c>
      <c r="F361" s="58">
        <v>0</v>
      </c>
      <c r="G361" s="59">
        <f t="shared" si="10"/>
        <v>19528.2</v>
      </c>
      <c r="H361" s="59">
        <f t="shared" si="11"/>
        <v>0</v>
      </c>
      <c r="I361" s="60">
        <v>0</v>
      </c>
    </row>
    <row r="362" spans="1:9" x14ac:dyDescent="0.2">
      <c r="A362" s="57">
        <v>151</v>
      </c>
      <c r="B362" s="58">
        <f>PRRAS!C373</f>
        <v>361</v>
      </c>
      <c r="C362" s="58">
        <f>PRRAS!D373</f>
        <v>20183</v>
      </c>
      <c r="D362" s="58">
        <f>PRRAS!E373</f>
        <v>17031</v>
      </c>
      <c r="E362" s="58">
        <v>0</v>
      </c>
      <c r="F362" s="58">
        <v>0</v>
      </c>
      <c r="G362" s="59">
        <f t="shared" si="10"/>
        <v>19582.445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179335</v>
      </c>
      <c r="D400" s="58">
        <f>PRRAS!E411</f>
        <v>77960</v>
      </c>
      <c r="E400" s="58">
        <v>0</v>
      </c>
      <c r="F400" s="58">
        <v>0</v>
      </c>
      <c r="G400" s="59">
        <f t="shared" si="12"/>
        <v>133766.745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1045804</v>
      </c>
      <c r="D404" s="58">
        <f>PRRAS!E415</f>
        <v>1062816</v>
      </c>
      <c r="E404" s="58">
        <v>0</v>
      </c>
      <c r="F404" s="58">
        <v>0</v>
      </c>
      <c r="G404" s="59">
        <f t="shared" si="12"/>
        <v>1278088.7080000001</v>
      </c>
      <c r="H404" s="59">
        <f t="shared" si="13"/>
        <v>0</v>
      </c>
      <c r="I404" s="60">
        <v>0</v>
      </c>
    </row>
    <row r="405" spans="1:9" x14ac:dyDescent="0.2">
      <c r="A405" s="57">
        <v>151</v>
      </c>
      <c r="B405" s="58">
        <f>PRRAS!C416</f>
        <v>404</v>
      </c>
      <c r="C405" s="58">
        <f>PRRAS!D416</f>
        <v>1030107</v>
      </c>
      <c r="D405" s="58">
        <f>PRRAS!E416</f>
        <v>1056968</v>
      </c>
      <c r="E405" s="58">
        <v>0</v>
      </c>
      <c r="F405" s="58">
        <v>0</v>
      </c>
      <c r="G405" s="59">
        <f t="shared" si="12"/>
        <v>1270193.372</v>
      </c>
      <c r="H405" s="59">
        <f t="shared" si="13"/>
        <v>0</v>
      </c>
      <c r="I405" s="60">
        <v>0</v>
      </c>
    </row>
    <row r="406" spans="1:9" x14ac:dyDescent="0.2">
      <c r="A406" s="57">
        <v>151</v>
      </c>
      <c r="B406" s="58">
        <f>PRRAS!C417</f>
        <v>405</v>
      </c>
      <c r="C406" s="58">
        <f>PRRAS!D417</f>
        <v>15697</v>
      </c>
      <c r="D406" s="58">
        <f>PRRAS!E417</f>
        <v>5848</v>
      </c>
      <c r="E406" s="58">
        <v>0</v>
      </c>
      <c r="F406" s="58">
        <v>0</v>
      </c>
      <c r="G406" s="59">
        <f t="shared" si="12"/>
        <v>11094.165000000001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61704</v>
      </c>
      <c r="D408" s="58">
        <f>PRRAS!E419</f>
        <v>9486</v>
      </c>
      <c r="E408" s="58">
        <v>0</v>
      </c>
      <c r="F408" s="58">
        <v>0</v>
      </c>
      <c r="G408" s="59">
        <f t="shared" si="12"/>
        <v>32835.131999999998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1045804</v>
      </c>
      <c r="D630" s="58">
        <f>PRRAS!E642</f>
        <v>1062816</v>
      </c>
      <c r="E630" s="58">
        <v>0</v>
      </c>
      <c r="F630" s="58">
        <v>0</v>
      </c>
      <c r="G630" s="59">
        <f t="shared" si="18"/>
        <v>1994833.2439999999</v>
      </c>
      <c r="H630" s="59">
        <f t="shared" si="19"/>
        <v>0</v>
      </c>
      <c r="I630" s="60">
        <v>0</v>
      </c>
    </row>
    <row r="631" spans="1:9" x14ac:dyDescent="0.2">
      <c r="A631" s="57">
        <v>151</v>
      </c>
      <c r="B631" s="58">
        <f>PRRAS!C643</f>
        <v>630</v>
      </c>
      <c r="C631" s="58">
        <f>PRRAS!D643</f>
        <v>1030107</v>
      </c>
      <c r="D631" s="58">
        <f>PRRAS!E643</f>
        <v>1056968</v>
      </c>
      <c r="E631" s="58">
        <v>0</v>
      </c>
      <c r="F631" s="58">
        <v>0</v>
      </c>
      <c r="G631" s="59">
        <f t="shared" si="18"/>
        <v>1980747.09</v>
      </c>
      <c r="H631" s="59">
        <f t="shared" si="19"/>
        <v>0</v>
      </c>
      <c r="I631" s="60">
        <v>0</v>
      </c>
    </row>
    <row r="632" spans="1:9" x14ac:dyDescent="0.2">
      <c r="A632" s="57">
        <v>151</v>
      </c>
      <c r="B632" s="58">
        <f>PRRAS!C644</f>
        <v>631</v>
      </c>
      <c r="C632" s="58">
        <f>PRRAS!D644</f>
        <v>15697</v>
      </c>
      <c r="D632" s="58">
        <f>PRRAS!E644</f>
        <v>5848</v>
      </c>
      <c r="E632" s="58">
        <v>0</v>
      </c>
      <c r="F632" s="58">
        <v>0</v>
      </c>
      <c r="G632" s="59">
        <f t="shared" si="18"/>
        <v>17284.983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61704</v>
      </c>
      <c r="D634" s="58">
        <f>PRRAS!E646</f>
        <v>9486</v>
      </c>
      <c r="E634" s="58">
        <v>0</v>
      </c>
      <c r="F634" s="58">
        <v>0</v>
      </c>
      <c r="G634" s="59">
        <f t="shared" si="18"/>
        <v>51067.908000000003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77401</v>
      </c>
      <c r="D636" s="58">
        <f>PRRAS!E648</f>
        <v>15334</v>
      </c>
      <c r="E636" s="58">
        <v>0</v>
      </c>
      <c r="F636" s="58">
        <v>0</v>
      </c>
      <c r="G636" s="59">
        <f t="shared" si="18"/>
        <v>68623.815000000002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87029</v>
      </c>
      <c r="D639" s="58">
        <f>PRRAS!E652</f>
        <v>197682</v>
      </c>
      <c r="E639" s="58">
        <v>0</v>
      </c>
      <c r="F639" s="58">
        <v>0</v>
      </c>
      <c r="G639" s="59">
        <f t="shared" si="18"/>
        <v>307766.734</v>
      </c>
      <c r="H639" s="59">
        <f t="shared" si="19"/>
        <v>0</v>
      </c>
      <c r="I639" s="60">
        <v>0</v>
      </c>
    </row>
    <row r="640" spans="1:9" x14ac:dyDescent="0.2">
      <c r="A640" s="57">
        <v>151</v>
      </c>
      <c r="B640" s="58">
        <f>PRRAS!C653</f>
        <v>639</v>
      </c>
      <c r="C640" s="58">
        <f>PRRAS!D653</f>
        <v>1129669</v>
      </c>
      <c r="D640" s="58">
        <f>PRRAS!E653</f>
        <v>1106133</v>
      </c>
      <c r="E640" s="58">
        <v>0</v>
      </c>
      <c r="F640" s="58">
        <v>0</v>
      </c>
      <c r="G640" s="59">
        <f t="shared" si="18"/>
        <v>2135496.4649999999</v>
      </c>
      <c r="H640" s="59">
        <f t="shared" si="19"/>
        <v>0</v>
      </c>
      <c r="I640" s="60">
        <v>0</v>
      </c>
    </row>
    <row r="641" spans="1:9" x14ac:dyDescent="0.2">
      <c r="A641" s="57">
        <v>151</v>
      </c>
      <c r="B641" s="58">
        <f>PRRAS!C654</f>
        <v>640</v>
      </c>
      <c r="C641" s="58">
        <f>PRRAS!D654</f>
        <v>1019016</v>
      </c>
      <c r="D641" s="58">
        <f>PRRAS!E654</f>
        <v>1137019</v>
      </c>
      <c r="E641" s="58">
        <v>0</v>
      </c>
      <c r="F641" s="58">
        <v>0</v>
      </c>
      <c r="G641" s="59">
        <f t="shared" si="18"/>
        <v>2107554.56</v>
      </c>
      <c r="H641" s="59">
        <f t="shared" si="19"/>
        <v>0</v>
      </c>
      <c r="I641" s="60">
        <v>0</v>
      </c>
    </row>
    <row r="642" spans="1:9" x14ac:dyDescent="0.2">
      <c r="A642" s="57">
        <v>151</v>
      </c>
      <c r="B642" s="58">
        <f>PRRAS!C655</f>
        <v>641</v>
      </c>
      <c r="C642" s="58">
        <f>PRRAS!D655</f>
        <v>197682</v>
      </c>
      <c r="D642" s="58">
        <f>PRRAS!E655</f>
        <v>166796</v>
      </c>
      <c r="E642" s="58">
        <v>0</v>
      </c>
      <c r="F642" s="58">
        <v>0</v>
      </c>
      <c r="G642" s="59">
        <f t="shared" ref="G642:G705" si="20">(B642/1000)*(C642*1+D642*2)</f>
        <v>340546.63400000002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v>
      </c>
      <c r="D644" s="58">
        <f>PRRAS!E657</f>
        <v>3</v>
      </c>
      <c r="E644" s="58">
        <v>0</v>
      </c>
      <c r="F644" s="58">
        <v>0</v>
      </c>
      <c r="G644" s="59">
        <f t="shared" si="20"/>
        <v>5.7869999999999999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v>
      </c>
      <c r="D646" s="58">
        <f>PRRAS!E659</f>
        <v>3</v>
      </c>
      <c r="E646" s="58">
        <v>0</v>
      </c>
      <c r="F646" s="58">
        <v>0</v>
      </c>
      <c r="G646" s="59">
        <f t="shared" si="20"/>
        <v>5.8049999999999997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57999</v>
      </c>
      <c r="D665" s="58">
        <f>PRRAS!E678</f>
        <v>33000</v>
      </c>
      <c r="E665" s="58">
        <v>0</v>
      </c>
      <c r="F665" s="58">
        <v>0</v>
      </c>
      <c r="G665" s="59">
        <f t="shared" si="20"/>
        <v>82335.33600000001</v>
      </c>
      <c r="H665" s="59">
        <f t="shared" si="21"/>
        <v>0</v>
      </c>
      <c r="I665" s="60">
        <v>0</v>
      </c>
    </row>
    <row r="666" spans="1:9" x14ac:dyDescent="0.2">
      <c r="A666" s="57">
        <v>151</v>
      </c>
      <c r="B666" s="58">
        <f>PRRAS!C679</f>
        <v>665</v>
      </c>
      <c r="C666" s="58">
        <f>PRRAS!D679</f>
        <v>100500</v>
      </c>
      <c r="D666" s="58">
        <f>PRRAS!E679</f>
        <v>102000</v>
      </c>
      <c r="E666" s="58">
        <v>0</v>
      </c>
      <c r="F666" s="58">
        <v>0</v>
      </c>
      <c r="G666" s="59">
        <f t="shared" si="20"/>
        <v>202492.5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16056</v>
      </c>
      <c r="D690" s="58">
        <f>PRRAS!E703</f>
        <v>15675</v>
      </c>
      <c r="E690" s="58">
        <v>0</v>
      </c>
      <c r="F690" s="58">
        <v>0</v>
      </c>
      <c r="G690" s="59">
        <f t="shared" si="20"/>
        <v>32662.733999999997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31590</v>
      </c>
      <c r="D693" s="58">
        <f>PRRAS!E706</f>
        <v>50884</v>
      </c>
      <c r="E693" s="58">
        <v>0</v>
      </c>
      <c r="F693" s="58">
        <v>0</v>
      </c>
      <c r="G693" s="59">
        <f t="shared" si="20"/>
        <v>92283.73599999999</v>
      </c>
      <c r="H693" s="59">
        <f t="shared" si="21"/>
        <v>0</v>
      </c>
      <c r="I693" s="60">
        <v>0</v>
      </c>
    </row>
    <row r="694" spans="1:9" x14ac:dyDescent="0.2">
      <c r="A694" s="57">
        <v>151</v>
      </c>
      <c r="B694" s="58">
        <f>PRRAS!C707</f>
        <v>693</v>
      </c>
      <c r="C694" s="58">
        <f>PRRAS!D707</f>
        <v>320</v>
      </c>
      <c r="D694" s="58">
        <f>PRRAS!E707</f>
        <v>0</v>
      </c>
      <c r="E694" s="58">
        <v>0</v>
      </c>
      <c r="F694" s="58">
        <v>0</v>
      </c>
      <c r="G694" s="59">
        <f t="shared" si="20"/>
        <v>221.76</v>
      </c>
      <c r="H694" s="59">
        <f t="shared" si="21"/>
        <v>0</v>
      </c>
      <c r="I694" s="60">
        <v>0</v>
      </c>
    </row>
    <row r="695" spans="1:9" x14ac:dyDescent="0.2">
      <c r="A695" s="57">
        <v>151</v>
      </c>
      <c r="B695" s="58">
        <f>PRRAS!C708</f>
        <v>694</v>
      </c>
      <c r="C695" s="58">
        <f>PRRAS!D708</f>
        <v>73891</v>
      </c>
      <c r="D695" s="58">
        <f>PRRAS!E708</f>
        <v>73171</v>
      </c>
      <c r="E695" s="58">
        <v>0</v>
      </c>
      <c r="F695" s="58">
        <v>0</v>
      </c>
      <c r="G695" s="59">
        <f t="shared" si="20"/>
        <v>152841.70199999999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2985424</v>
      </c>
      <c r="D977" s="63">
        <f>Bil!E12</f>
        <v>3445333</v>
      </c>
      <c r="E977" s="63">
        <v>0</v>
      </c>
      <c r="F977" s="63">
        <v>0</v>
      </c>
      <c r="G977" s="64">
        <f t="shared" ref="G977:G1040" si="32">B977/1000*C977+B977/500*D977</f>
        <v>9876.09</v>
      </c>
      <c r="H977" s="64">
        <f t="shared" si="31"/>
        <v>0</v>
      </c>
      <c r="I977" s="65"/>
    </row>
    <row r="978" spans="1:9" x14ac:dyDescent="0.2">
      <c r="A978" s="57">
        <v>152</v>
      </c>
      <c r="B978" s="58">
        <f>Bil!C13</f>
        <v>2</v>
      </c>
      <c r="C978" s="58">
        <f>Bil!D13</f>
        <v>2787286</v>
      </c>
      <c r="D978" s="58">
        <f>Bil!E13</f>
        <v>3276537</v>
      </c>
      <c r="E978" s="58">
        <v>0</v>
      </c>
      <c r="F978" s="58">
        <v>0</v>
      </c>
      <c r="G978" s="59">
        <f t="shared" si="32"/>
        <v>18680.72</v>
      </c>
      <c r="H978" s="59">
        <f t="shared" si="31"/>
        <v>0</v>
      </c>
      <c r="I978" s="60"/>
    </row>
    <row r="979" spans="1:9" x14ac:dyDescent="0.2">
      <c r="A979" s="57">
        <v>152</v>
      </c>
      <c r="B979" s="58">
        <f>Bil!C14</f>
        <v>3</v>
      </c>
      <c r="C979" s="58">
        <f>Bil!D14</f>
        <v>303429</v>
      </c>
      <c r="D979" s="58">
        <f>Bil!E14</f>
        <v>273819</v>
      </c>
      <c r="E979" s="58">
        <v>0</v>
      </c>
      <c r="F979" s="58">
        <v>0</v>
      </c>
      <c r="G979" s="59">
        <f t="shared" si="32"/>
        <v>2553.201</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794362</v>
      </c>
      <c r="D981" s="58">
        <f>Bil!E16</f>
        <v>855291</v>
      </c>
      <c r="E981" s="58">
        <v>0</v>
      </c>
      <c r="F981" s="58">
        <v>0</v>
      </c>
      <c r="G981" s="59">
        <f t="shared" si="32"/>
        <v>12524.72</v>
      </c>
      <c r="H981" s="59">
        <f t="shared" si="31"/>
        <v>0</v>
      </c>
      <c r="I981" s="60"/>
    </row>
    <row r="982" spans="1:9" x14ac:dyDescent="0.2">
      <c r="A982" s="57">
        <v>152</v>
      </c>
      <c r="B982" s="58">
        <f>Bil!C17</f>
        <v>6</v>
      </c>
      <c r="C982" s="58">
        <f>Bil!D17</f>
        <v>490933</v>
      </c>
      <c r="D982" s="58">
        <f>Bil!E17</f>
        <v>581472</v>
      </c>
      <c r="E982" s="58">
        <v>0</v>
      </c>
      <c r="F982" s="58">
        <v>0</v>
      </c>
      <c r="G982" s="59">
        <f t="shared" si="32"/>
        <v>9923.2619999999988</v>
      </c>
      <c r="H982" s="59">
        <f t="shared" si="31"/>
        <v>0</v>
      </c>
      <c r="I982" s="60"/>
    </row>
    <row r="983" spans="1:9" x14ac:dyDescent="0.2">
      <c r="A983" s="57">
        <v>152</v>
      </c>
      <c r="B983" s="58">
        <f>Bil!C18</f>
        <v>7</v>
      </c>
      <c r="C983" s="58">
        <f>Bil!D18</f>
        <v>2483857</v>
      </c>
      <c r="D983" s="58">
        <f>Bil!E18</f>
        <v>3002718</v>
      </c>
      <c r="E983" s="58">
        <v>0</v>
      </c>
      <c r="F983" s="58">
        <v>0</v>
      </c>
      <c r="G983" s="59">
        <f t="shared" si="32"/>
        <v>59425.051000000007</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34548</v>
      </c>
      <c r="D990" s="58">
        <f>Bil!E25</f>
        <v>41069</v>
      </c>
      <c r="E990" s="58">
        <v>0</v>
      </c>
      <c r="F990" s="58">
        <v>0</v>
      </c>
      <c r="G990" s="59">
        <f t="shared" si="32"/>
        <v>1633.604</v>
      </c>
      <c r="H990" s="59">
        <f t="shared" si="31"/>
        <v>0</v>
      </c>
      <c r="I990" s="60"/>
    </row>
    <row r="991" spans="1:9" x14ac:dyDescent="0.2">
      <c r="A991" s="57">
        <v>152</v>
      </c>
      <c r="B991" s="58">
        <f>Bil!C26</f>
        <v>15</v>
      </c>
      <c r="C991" s="58">
        <f>Bil!D26</f>
        <v>36436</v>
      </c>
      <c r="D991" s="58">
        <f>Bil!E26</f>
        <v>53467</v>
      </c>
      <c r="E991" s="58">
        <v>0</v>
      </c>
      <c r="F991" s="58">
        <v>0</v>
      </c>
      <c r="G991" s="59">
        <f t="shared" si="32"/>
        <v>2150.5500000000002</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31023</v>
      </c>
      <c r="D997" s="58">
        <f>Bil!E32</f>
        <v>31023</v>
      </c>
      <c r="E997" s="58">
        <v>0</v>
      </c>
      <c r="F997" s="58">
        <v>0</v>
      </c>
      <c r="G997" s="59">
        <f t="shared" si="32"/>
        <v>1954.4490000000001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32911</v>
      </c>
      <c r="D999" s="58">
        <f>Bil!E34</f>
        <v>43421</v>
      </c>
      <c r="E999" s="58">
        <v>0</v>
      </c>
      <c r="F999" s="58">
        <v>0</v>
      </c>
      <c r="G999" s="59">
        <f t="shared" si="32"/>
        <v>2754.319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2449309</v>
      </c>
      <c r="D1006" s="58">
        <f>Bil!E41</f>
        <v>2961649</v>
      </c>
      <c r="E1006" s="58">
        <v>0</v>
      </c>
      <c r="F1006" s="58">
        <v>0</v>
      </c>
      <c r="G1006" s="59">
        <f t="shared" si="32"/>
        <v>251178.21000000002</v>
      </c>
      <c r="H1006" s="59">
        <f t="shared" si="31"/>
        <v>0</v>
      </c>
      <c r="I1006" s="60"/>
    </row>
    <row r="1007" spans="1:9" x14ac:dyDescent="0.2">
      <c r="A1007" s="57">
        <v>152</v>
      </c>
      <c r="B1007" s="58">
        <f>Bil!C42</f>
        <v>31</v>
      </c>
      <c r="C1007" s="58">
        <f>Bil!D42</f>
        <v>19034</v>
      </c>
      <c r="D1007" s="58">
        <f>Bil!E42</f>
        <v>20124</v>
      </c>
      <c r="E1007" s="58">
        <v>0</v>
      </c>
      <c r="F1007" s="58">
        <v>0</v>
      </c>
      <c r="G1007" s="59">
        <f t="shared" si="32"/>
        <v>1837.7420000000002</v>
      </c>
      <c r="H1007" s="59">
        <f t="shared" si="31"/>
        <v>0</v>
      </c>
      <c r="I1007" s="60"/>
    </row>
    <row r="1008" spans="1:9" x14ac:dyDescent="0.2">
      <c r="A1008" s="57">
        <v>152</v>
      </c>
      <c r="B1008" s="58">
        <f>Bil!C43</f>
        <v>32</v>
      </c>
      <c r="C1008" s="58">
        <f>Bil!D43</f>
        <v>2430275</v>
      </c>
      <c r="D1008" s="58">
        <f>Bil!E43</f>
        <v>2941525</v>
      </c>
      <c r="E1008" s="58">
        <v>0</v>
      </c>
      <c r="F1008" s="58">
        <v>0</v>
      </c>
      <c r="G1008" s="59">
        <f t="shared" si="32"/>
        <v>266026.40000000002</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58874</v>
      </c>
      <c r="D1025" s="58">
        <f>Bil!E60</f>
        <v>80479</v>
      </c>
      <c r="E1025" s="58">
        <v>0</v>
      </c>
      <c r="F1025" s="58">
        <v>0</v>
      </c>
      <c r="G1025" s="59">
        <f t="shared" si="32"/>
        <v>10771.768</v>
      </c>
      <c r="H1025" s="59">
        <f t="shared" si="31"/>
        <v>0</v>
      </c>
      <c r="I1025" s="60"/>
    </row>
    <row r="1026" spans="1:9" x14ac:dyDescent="0.2">
      <c r="A1026" s="57">
        <v>152</v>
      </c>
      <c r="B1026" s="58">
        <f>Bil!C61</f>
        <v>50</v>
      </c>
      <c r="C1026" s="58">
        <f>Bil!D61</f>
        <v>58874</v>
      </c>
      <c r="D1026" s="58">
        <f>Bil!E61</f>
        <v>80479</v>
      </c>
      <c r="E1026" s="58">
        <v>0</v>
      </c>
      <c r="F1026" s="58">
        <v>0</v>
      </c>
      <c r="G1026" s="59">
        <f t="shared" si="32"/>
        <v>10991.6</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198138</v>
      </c>
      <c r="D1039" s="58">
        <f>Bil!E74</f>
        <v>168796</v>
      </c>
      <c r="E1039" s="58">
        <v>0</v>
      </c>
      <c r="F1039" s="58">
        <v>0</v>
      </c>
      <c r="G1039" s="59">
        <f t="shared" si="32"/>
        <v>33750.99</v>
      </c>
      <c r="H1039" s="59">
        <f t="shared" si="33"/>
        <v>0</v>
      </c>
      <c r="I1039" s="60"/>
    </row>
    <row r="1040" spans="1:9" x14ac:dyDescent="0.2">
      <c r="A1040" s="57">
        <v>152</v>
      </c>
      <c r="B1040" s="58">
        <f>Bil!C75</f>
        <v>64</v>
      </c>
      <c r="C1040" s="58">
        <f>Bil!D75</f>
        <v>197682</v>
      </c>
      <c r="D1040" s="58">
        <f>Bil!E75</f>
        <v>166796</v>
      </c>
      <c r="E1040" s="58">
        <v>0</v>
      </c>
      <c r="F1040" s="58">
        <v>0</v>
      </c>
      <c r="G1040" s="59">
        <f t="shared" si="32"/>
        <v>34001.536</v>
      </c>
      <c r="H1040" s="59">
        <f t="shared" si="33"/>
        <v>0</v>
      </c>
      <c r="I1040" s="60"/>
    </row>
    <row r="1041" spans="1:9" x14ac:dyDescent="0.2">
      <c r="A1041" s="57">
        <v>152</v>
      </c>
      <c r="B1041" s="58">
        <f>Bil!C76</f>
        <v>65</v>
      </c>
      <c r="C1041" s="58">
        <f>Bil!D76</f>
        <v>197343</v>
      </c>
      <c r="D1041" s="58">
        <f>Bil!E76</f>
        <v>166457</v>
      </c>
      <c r="E1041" s="58">
        <v>0</v>
      </c>
      <c r="F1041" s="58">
        <v>0</v>
      </c>
      <c r="G1041" s="59">
        <f t="shared" ref="G1041:G1104" si="34">B1041/1000*C1041+B1041/500*D1041</f>
        <v>34466.705000000002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197343</v>
      </c>
      <c r="D1043" s="58">
        <f>Bil!E78</f>
        <v>166457</v>
      </c>
      <c r="E1043" s="58">
        <v>0</v>
      </c>
      <c r="F1043" s="58">
        <v>0</v>
      </c>
      <c r="G1043" s="59">
        <f t="shared" si="34"/>
        <v>35527.219000000005</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339</v>
      </c>
      <c r="D1047" s="58">
        <f>Bil!E82</f>
        <v>339</v>
      </c>
      <c r="E1047" s="58">
        <v>0</v>
      </c>
      <c r="F1047" s="58">
        <v>0</v>
      </c>
      <c r="G1047" s="59">
        <f t="shared" si="34"/>
        <v>72.206999999999994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456</v>
      </c>
      <c r="D1049" s="58">
        <f>Bil!E84</f>
        <v>0</v>
      </c>
      <c r="E1049" s="58">
        <v>0</v>
      </c>
      <c r="F1049" s="58">
        <v>0</v>
      </c>
      <c r="G1049" s="59">
        <f t="shared" si="34"/>
        <v>33.287999999999997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456</v>
      </c>
      <c r="D1056" s="58">
        <f>Bil!E91</f>
        <v>0</v>
      </c>
      <c r="E1056" s="58">
        <v>0</v>
      </c>
      <c r="F1056" s="58">
        <v>0</v>
      </c>
      <c r="G1056" s="59">
        <f t="shared" si="34"/>
        <v>36.480000000000004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2000</v>
      </c>
      <c r="E1116" s="58">
        <v>0</v>
      </c>
      <c r="F1116" s="58">
        <v>0</v>
      </c>
      <c r="G1116" s="59">
        <f t="shared" si="36"/>
        <v>560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2000</v>
      </c>
      <c r="E1119" s="58">
        <v>0</v>
      </c>
      <c r="F1119" s="58">
        <v>0</v>
      </c>
      <c r="G1119" s="59">
        <f t="shared" si="36"/>
        <v>572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2000</v>
      </c>
      <c r="E1125" s="58">
        <v>0</v>
      </c>
      <c r="F1125" s="58">
        <v>0</v>
      </c>
      <c r="G1125" s="59">
        <f t="shared" si="36"/>
        <v>596</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2985423</v>
      </c>
      <c r="D1138" s="58">
        <f>Bil!E173</f>
        <v>3445333</v>
      </c>
      <c r="E1138" s="58">
        <v>0</v>
      </c>
      <c r="F1138" s="58">
        <v>0</v>
      </c>
      <c r="G1138" s="59">
        <f t="shared" si="36"/>
        <v>1599926.4180000001</v>
      </c>
      <c r="H1138" s="59">
        <f t="shared" si="35"/>
        <v>0</v>
      </c>
      <c r="I1138" s="60"/>
    </row>
    <row r="1139" spans="1:9" x14ac:dyDescent="0.2">
      <c r="A1139" s="57">
        <v>152</v>
      </c>
      <c r="B1139" s="58">
        <f>Bil!C174</f>
        <v>163</v>
      </c>
      <c r="C1139" s="58">
        <f>Bil!D174</f>
        <v>208651</v>
      </c>
      <c r="D1139" s="58">
        <f>Bil!E174</f>
        <v>153462</v>
      </c>
      <c r="E1139" s="58">
        <v>0</v>
      </c>
      <c r="F1139" s="58">
        <v>0</v>
      </c>
      <c r="G1139" s="59">
        <f t="shared" si="36"/>
        <v>84038.725000000006</v>
      </c>
      <c r="H1139" s="59">
        <f t="shared" si="35"/>
        <v>0</v>
      </c>
      <c r="I1139" s="60"/>
    </row>
    <row r="1140" spans="1:9" x14ac:dyDescent="0.2">
      <c r="A1140" s="57">
        <v>152</v>
      </c>
      <c r="B1140" s="58">
        <f>Bil!C175</f>
        <v>164</v>
      </c>
      <c r="C1140" s="58">
        <f>Bil!D175</f>
        <v>188651</v>
      </c>
      <c r="D1140" s="58">
        <f>Bil!E175</f>
        <v>142793</v>
      </c>
      <c r="E1140" s="58">
        <v>0</v>
      </c>
      <c r="F1140" s="58">
        <v>0</v>
      </c>
      <c r="G1140" s="59">
        <f t="shared" si="36"/>
        <v>77774.868000000002</v>
      </c>
      <c r="H1140" s="59">
        <f t="shared" si="35"/>
        <v>0</v>
      </c>
      <c r="I1140" s="60"/>
    </row>
    <row r="1141" spans="1:9" x14ac:dyDescent="0.2">
      <c r="A1141" s="57">
        <v>152</v>
      </c>
      <c r="B1141" s="58">
        <f>Bil!C176</f>
        <v>165</v>
      </c>
      <c r="C1141" s="58">
        <f>Bil!D176</f>
        <v>42497</v>
      </c>
      <c r="D1141" s="58">
        <f>Bil!E176</f>
        <v>42363</v>
      </c>
      <c r="E1141" s="58">
        <v>0</v>
      </c>
      <c r="F1141" s="58">
        <v>0</v>
      </c>
      <c r="G1141" s="59">
        <f t="shared" si="36"/>
        <v>20991.795000000002</v>
      </c>
      <c r="H1141" s="59">
        <f t="shared" si="35"/>
        <v>0</v>
      </c>
      <c r="I1141" s="60"/>
    </row>
    <row r="1142" spans="1:9" x14ac:dyDescent="0.2">
      <c r="A1142" s="57">
        <v>152</v>
      </c>
      <c r="B1142" s="58">
        <f>Bil!C177</f>
        <v>166</v>
      </c>
      <c r="C1142" s="58">
        <f>Bil!D177</f>
        <v>145355</v>
      </c>
      <c r="D1142" s="58">
        <f>Bil!E177</f>
        <v>90521</v>
      </c>
      <c r="E1142" s="58">
        <v>0</v>
      </c>
      <c r="F1142" s="58">
        <v>0</v>
      </c>
      <c r="G1142" s="59">
        <f t="shared" si="36"/>
        <v>54181.902000000002</v>
      </c>
      <c r="H1142" s="59">
        <f t="shared" si="35"/>
        <v>0</v>
      </c>
      <c r="I1142" s="60"/>
    </row>
    <row r="1143" spans="1:9" x14ac:dyDescent="0.2">
      <c r="A1143" s="57">
        <v>152</v>
      </c>
      <c r="B1143" s="58">
        <f>Bil!C178</f>
        <v>167</v>
      </c>
      <c r="C1143" s="58">
        <f>Bil!D178</f>
        <v>218</v>
      </c>
      <c r="D1143" s="58">
        <f>Bil!E178</f>
        <v>189</v>
      </c>
      <c r="E1143" s="58">
        <v>0</v>
      </c>
      <c r="F1143" s="58">
        <v>0</v>
      </c>
      <c r="G1143" s="59">
        <f t="shared" si="36"/>
        <v>99.532000000000011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218</v>
      </c>
      <c r="D1146" s="58">
        <f>Bil!E181</f>
        <v>189</v>
      </c>
      <c r="E1146" s="58">
        <v>0</v>
      </c>
      <c r="F1146" s="58">
        <v>0</v>
      </c>
      <c r="G1146" s="59">
        <f t="shared" si="36"/>
        <v>101.32000000000001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581</v>
      </c>
      <c r="D1150" s="58">
        <f>Bil!E185</f>
        <v>9720</v>
      </c>
      <c r="E1150" s="58">
        <v>0</v>
      </c>
      <c r="F1150" s="58">
        <v>0</v>
      </c>
      <c r="G1150" s="59">
        <f t="shared" si="36"/>
        <v>3483.654</v>
      </c>
      <c r="H1150" s="59">
        <f t="shared" si="35"/>
        <v>0</v>
      </c>
      <c r="I1150" s="60"/>
    </row>
    <row r="1151" spans="1:9" x14ac:dyDescent="0.2">
      <c r="A1151" s="57">
        <v>152</v>
      </c>
      <c r="B1151" s="58">
        <f>Bil!C186</f>
        <v>175</v>
      </c>
      <c r="C1151" s="58">
        <f>Bil!D186</f>
        <v>20000</v>
      </c>
      <c r="D1151" s="58">
        <f>Bil!E186</f>
        <v>10669</v>
      </c>
      <c r="E1151" s="58">
        <v>0</v>
      </c>
      <c r="F1151" s="58">
        <v>0</v>
      </c>
      <c r="G1151" s="59">
        <f t="shared" si="36"/>
        <v>7234.15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2776772</v>
      </c>
      <c r="D1199" s="58">
        <f>Bil!E234</f>
        <v>3291871</v>
      </c>
      <c r="E1199" s="58">
        <v>0</v>
      </c>
      <c r="F1199" s="58">
        <v>0</v>
      </c>
      <c r="G1199" s="59">
        <f t="shared" si="38"/>
        <v>2087394.622</v>
      </c>
      <c r="H1199" s="59">
        <f t="shared" si="37"/>
        <v>0</v>
      </c>
      <c r="I1199" s="60"/>
    </row>
    <row r="1200" spans="1:9" x14ac:dyDescent="0.2">
      <c r="A1200" s="57">
        <v>152</v>
      </c>
      <c r="B1200" s="58">
        <f>Bil!C235</f>
        <v>224</v>
      </c>
      <c r="C1200" s="58">
        <f>Bil!D235</f>
        <v>2699371</v>
      </c>
      <c r="D1200" s="58">
        <f>Bil!E235</f>
        <v>3276537</v>
      </c>
      <c r="E1200" s="58">
        <v>0</v>
      </c>
      <c r="F1200" s="58">
        <v>0</v>
      </c>
      <c r="G1200" s="59">
        <f t="shared" si="38"/>
        <v>2072547.6800000002</v>
      </c>
      <c r="H1200" s="59">
        <f t="shared" si="37"/>
        <v>0</v>
      </c>
      <c r="I1200" s="60"/>
    </row>
    <row r="1201" spans="1:9" x14ac:dyDescent="0.2">
      <c r="A1201" s="57">
        <v>152</v>
      </c>
      <c r="B1201" s="58">
        <f>Bil!C236</f>
        <v>225</v>
      </c>
      <c r="C1201" s="58">
        <f>Bil!D236</f>
        <v>2699371</v>
      </c>
      <c r="D1201" s="58">
        <f>Bil!E236</f>
        <v>3276537</v>
      </c>
      <c r="E1201" s="58">
        <v>0</v>
      </c>
      <c r="F1201" s="58">
        <v>0</v>
      </c>
      <c r="G1201" s="59">
        <f t="shared" si="38"/>
        <v>2081800.125</v>
      </c>
      <c r="H1201" s="59">
        <f t="shared" si="37"/>
        <v>0</v>
      </c>
      <c r="I1201" s="60"/>
    </row>
    <row r="1202" spans="1:9" x14ac:dyDescent="0.2">
      <c r="A1202" s="57">
        <v>152</v>
      </c>
      <c r="B1202" s="58">
        <f>Bil!C237</f>
        <v>226</v>
      </c>
      <c r="C1202" s="58">
        <f>Bil!D237</f>
        <v>2036460</v>
      </c>
      <c r="D1202" s="58">
        <f>Bil!E237</f>
        <v>2077582</v>
      </c>
      <c r="E1202" s="58">
        <v>0</v>
      </c>
      <c r="F1202" s="58">
        <v>0</v>
      </c>
      <c r="G1202" s="59">
        <f t="shared" si="38"/>
        <v>1399307.024</v>
      </c>
      <c r="H1202" s="59">
        <f t="shared" si="37"/>
        <v>0</v>
      </c>
      <c r="I1202" s="60"/>
    </row>
    <row r="1203" spans="1:9" x14ac:dyDescent="0.2">
      <c r="A1203" s="57">
        <v>152</v>
      </c>
      <c r="B1203" s="58">
        <f>Bil!C238</f>
        <v>227</v>
      </c>
      <c r="C1203" s="58">
        <f>Bil!D238</f>
        <v>662911</v>
      </c>
      <c r="D1203" s="58">
        <f>Bil!E238</f>
        <v>1198955</v>
      </c>
      <c r="E1203" s="58">
        <v>0</v>
      </c>
      <c r="F1203" s="58">
        <v>0</v>
      </c>
      <c r="G1203" s="59">
        <f t="shared" si="38"/>
        <v>694806.36700000009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77401</v>
      </c>
      <c r="D1208" s="58">
        <f>Bil!E243</f>
        <v>15334</v>
      </c>
      <c r="E1208" s="58">
        <v>0</v>
      </c>
      <c r="F1208" s="58">
        <v>0</v>
      </c>
      <c r="G1208" s="59">
        <f t="shared" si="38"/>
        <v>25072.008000000002</v>
      </c>
      <c r="H1208" s="59">
        <f t="shared" si="37"/>
        <v>0</v>
      </c>
      <c r="I1208" s="60"/>
    </row>
    <row r="1209" spans="1:9" x14ac:dyDescent="0.2">
      <c r="A1209" s="57">
        <v>152</v>
      </c>
      <c r="B1209" s="58">
        <f>Bil!C244</f>
        <v>233</v>
      </c>
      <c r="C1209" s="58">
        <f>Bil!D244</f>
        <v>77401</v>
      </c>
      <c r="D1209" s="58">
        <f>Bil!E244</f>
        <v>15334</v>
      </c>
      <c r="E1209" s="58">
        <v>0</v>
      </c>
      <c r="F1209" s="58">
        <v>0</v>
      </c>
      <c r="G1209" s="59">
        <f t="shared" si="38"/>
        <v>25180.077000000001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2000</v>
      </c>
      <c r="E1224" s="58">
        <v>0</v>
      </c>
      <c r="F1224" s="58">
        <v>0</v>
      </c>
      <c r="G1224" s="59">
        <f t="shared" si="38"/>
        <v>992</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188651</v>
      </c>
      <c r="D1251" s="58">
        <f>Bil!E287</f>
        <v>142793</v>
      </c>
      <c r="E1251" s="58">
        <v>0</v>
      </c>
      <c r="F1251" s="58">
        <v>0</v>
      </c>
      <c r="G1251" s="59">
        <f t="shared" si="40"/>
        <v>130415.17500000002</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20000</v>
      </c>
      <c r="D1253" s="58">
        <f>Bil!E289</f>
        <v>10669</v>
      </c>
      <c r="E1253" s="58">
        <v>0</v>
      </c>
      <c r="F1253" s="58">
        <v>0</v>
      </c>
      <c r="G1253" s="59">
        <f t="shared" si="40"/>
        <v>11450.626</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581</v>
      </c>
      <c r="D1266" s="58">
        <f>Bil!E302</f>
        <v>9720</v>
      </c>
      <c r="E1266" s="58">
        <v>0</v>
      </c>
      <c r="F1266" s="58">
        <v>0</v>
      </c>
      <c r="G1266" s="59">
        <f t="shared" si="40"/>
        <v>5806.0899999999992</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1030107</v>
      </c>
      <c r="D1389" s="58">
        <f>RasF!E114</f>
        <v>1056968</v>
      </c>
      <c r="E1389" s="58">
        <v>0</v>
      </c>
      <c r="F1389" s="58">
        <v>0</v>
      </c>
      <c r="G1389" s="59">
        <f t="shared" si="44"/>
        <v>323836.429</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1030107</v>
      </c>
      <c r="D1391" s="58">
        <f>RasF!E116</f>
        <v>1056968</v>
      </c>
      <c r="E1391" s="58">
        <v>0</v>
      </c>
      <c r="F1391" s="58">
        <v>0</v>
      </c>
      <c r="G1391" s="59">
        <f t="shared" si="44"/>
        <v>330124.51500000001</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1030107</v>
      </c>
      <c r="D1423" s="67">
        <f>RasF!E148</f>
        <v>1056968</v>
      </c>
      <c r="E1423" s="67">
        <v>0</v>
      </c>
      <c r="F1423" s="67">
        <v>0</v>
      </c>
      <c r="G1423" s="68">
        <f t="shared" si="44"/>
        <v>430733.89100000006</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208651</v>
      </c>
      <c r="D1468" s="70"/>
      <c r="E1468" s="70">
        <v>0</v>
      </c>
      <c r="F1468" s="70">
        <v>0</v>
      </c>
      <c r="G1468" s="64">
        <f t="shared" ref="G1468:G1499" si="51">B1468/1000*C1468</f>
        <v>208.65100000000001</v>
      </c>
      <c r="H1468" s="64">
        <f t="shared" ref="H1468:H1499" si="52">ABS(C1468-ROUND(C1468,0))</f>
        <v>0</v>
      </c>
      <c r="I1468" s="65"/>
    </row>
    <row r="1469" spans="1:9" x14ac:dyDescent="0.2">
      <c r="A1469" s="73">
        <v>159</v>
      </c>
      <c r="B1469" s="61">
        <f>Obv!C13</f>
        <v>2</v>
      </c>
      <c r="C1469" s="61">
        <f>Obv!D13</f>
        <v>1149514</v>
      </c>
      <c r="D1469" s="61">
        <v>0</v>
      </c>
      <c r="E1469" s="61">
        <v>0</v>
      </c>
      <c r="F1469" s="61">
        <v>0</v>
      </c>
      <c r="G1469" s="59">
        <f t="shared" si="51"/>
        <v>2299.0280000000002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1126345</v>
      </c>
      <c r="D1471" s="61">
        <v>0</v>
      </c>
      <c r="E1471" s="61">
        <v>0</v>
      </c>
      <c r="F1471" s="61">
        <v>0</v>
      </c>
      <c r="G1471" s="59">
        <f t="shared" si="51"/>
        <v>4505.38</v>
      </c>
      <c r="H1471" s="59">
        <f t="shared" si="52"/>
        <v>0</v>
      </c>
      <c r="I1471" s="60"/>
    </row>
    <row r="1472" spans="1:9" x14ac:dyDescent="0.2">
      <c r="A1472" s="73">
        <v>159</v>
      </c>
      <c r="B1472" s="61">
        <f>Obv!C16</f>
        <v>5</v>
      </c>
      <c r="C1472" s="61">
        <f>Obv!D16</f>
        <v>501481</v>
      </c>
      <c r="D1472" s="61">
        <v>0</v>
      </c>
      <c r="E1472" s="61">
        <v>0</v>
      </c>
      <c r="F1472" s="61">
        <v>0</v>
      </c>
      <c r="G1472" s="59">
        <f t="shared" si="51"/>
        <v>2507.4050000000002</v>
      </c>
      <c r="H1472" s="59">
        <f t="shared" si="52"/>
        <v>0</v>
      </c>
      <c r="I1472" s="60"/>
    </row>
    <row r="1473" spans="1:9" x14ac:dyDescent="0.2">
      <c r="A1473" s="73">
        <v>159</v>
      </c>
      <c r="B1473" s="61">
        <f>Obv!C17</f>
        <v>6</v>
      </c>
      <c r="C1473" s="61">
        <f>Obv!D17</f>
        <v>549864</v>
      </c>
      <c r="D1473" s="61">
        <v>0</v>
      </c>
      <c r="E1473" s="61">
        <v>0</v>
      </c>
      <c r="F1473" s="61">
        <v>0</v>
      </c>
      <c r="G1473" s="59">
        <f t="shared" si="51"/>
        <v>3299.1840000000002</v>
      </c>
      <c r="H1473" s="59">
        <f t="shared" si="52"/>
        <v>0</v>
      </c>
      <c r="I1473" s="60"/>
    </row>
    <row r="1474" spans="1:9" x14ac:dyDescent="0.2">
      <c r="A1474" s="73">
        <v>159</v>
      </c>
      <c r="B1474" s="61">
        <f>Obv!C18</f>
        <v>7</v>
      </c>
      <c r="C1474" s="61">
        <f>Obv!D18</f>
        <v>189</v>
      </c>
      <c r="D1474" s="61">
        <v>0</v>
      </c>
      <c r="E1474" s="61">
        <v>0</v>
      </c>
      <c r="F1474" s="61">
        <v>0</v>
      </c>
      <c r="G1474" s="59">
        <f t="shared" si="51"/>
        <v>1.323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74811</v>
      </c>
      <c r="D1478" s="61">
        <v>0</v>
      </c>
      <c r="E1478" s="61">
        <v>0</v>
      </c>
      <c r="F1478" s="61">
        <v>0</v>
      </c>
      <c r="G1478" s="59">
        <f t="shared" si="51"/>
        <v>822.92099999999994</v>
      </c>
      <c r="H1478" s="59">
        <f t="shared" si="52"/>
        <v>0</v>
      </c>
      <c r="I1478" s="60"/>
    </row>
    <row r="1479" spans="1:9" x14ac:dyDescent="0.2">
      <c r="A1479" s="73">
        <v>159</v>
      </c>
      <c r="B1479" s="61">
        <f>Obv!C23</f>
        <v>12</v>
      </c>
      <c r="C1479" s="61">
        <f>Obv!D23</f>
        <v>23169</v>
      </c>
      <c r="D1479" s="61">
        <v>0</v>
      </c>
      <c r="E1479" s="61">
        <v>0</v>
      </c>
      <c r="F1479" s="61">
        <v>0</v>
      </c>
      <c r="G1479" s="59">
        <f t="shared" si="51"/>
        <v>278.02800000000002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1204703</v>
      </c>
      <c r="D1486" s="61">
        <v>0</v>
      </c>
      <c r="E1486" s="61">
        <v>0</v>
      </c>
      <c r="F1486" s="61">
        <v>0</v>
      </c>
      <c r="G1486" s="59">
        <f t="shared" si="51"/>
        <v>22889.357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1172203</v>
      </c>
      <c r="D1488" s="61">
        <v>0</v>
      </c>
      <c r="E1488" s="61">
        <v>0</v>
      </c>
      <c r="F1488" s="61">
        <v>0</v>
      </c>
      <c r="G1488" s="59">
        <f t="shared" si="51"/>
        <v>24616.263000000003</v>
      </c>
      <c r="H1488" s="59">
        <f t="shared" si="52"/>
        <v>0</v>
      </c>
      <c r="I1488" s="60"/>
    </row>
    <row r="1489" spans="1:9" x14ac:dyDescent="0.2">
      <c r="A1489" s="73">
        <v>159</v>
      </c>
      <c r="B1489" s="61">
        <f>Obv!C33</f>
        <v>22</v>
      </c>
      <c r="C1489" s="61">
        <f>Obv!D33</f>
        <v>501615</v>
      </c>
      <c r="D1489" s="61">
        <v>0</v>
      </c>
      <c r="E1489" s="61">
        <v>0</v>
      </c>
      <c r="F1489" s="61">
        <v>0</v>
      </c>
      <c r="G1489" s="59">
        <f t="shared" si="51"/>
        <v>11035.529999999999</v>
      </c>
      <c r="H1489" s="59">
        <f t="shared" si="52"/>
        <v>0</v>
      </c>
      <c r="I1489" s="60"/>
    </row>
    <row r="1490" spans="1:9" x14ac:dyDescent="0.2">
      <c r="A1490" s="73">
        <v>159</v>
      </c>
      <c r="B1490" s="61">
        <f>Obv!C34</f>
        <v>23</v>
      </c>
      <c r="C1490" s="61">
        <f>Obv!D34</f>
        <v>604698</v>
      </c>
      <c r="D1490" s="61">
        <v>0</v>
      </c>
      <c r="E1490" s="61">
        <v>0</v>
      </c>
      <c r="F1490" s="61">
        <v>0</v>
      </c>
      <c r="G1490" s="59">
        <f t="shared" si="51"/>
        <v>13908.054</v>
      </c>
      <c r="H1490" s="59">
        <f t="shared" si="52"/>
        <v>0</v>
      </c>
      <c r="I1490" s="60"/>
    </row>
    <row r="1491" spans="1:9" x14ac:dyDescent="0.2">
      <c r="A1491" s="73">
        <v>159</v>
      </c>
      <c r="B1491" s="61">
        <f>Obv!C35</f>
        <v>24</v>
      </c>
      <c r="C1491" s="61">
        <f>Obv!D35</f>
        <v>219</v>
      </c>
      <c r="D1491" s="61">
        <v>0</v>
      </c>
      <c r="E1491" s="61">
        <v>0</v>
      </c>
      <c r="F1491" s="61">
        <v>0</v>
      </c>
      <c r="G1491" s="59">
        <f t="shared" si="51"/>
        <v>5.2560000000000002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65671</v>
      </c>
      <c r="D1495" s="61">
        <v>0</v>
      </c>
      <c r="E1495" s="61">
        <v>0</v>
      </c>
      <c r="F1495" s="61">
        <v>0</v>
      </c>
      <c r="G1495" s="59">
        <f t="shared" si="51"/>
        <v>1838.788</v>
      </c>
      <c r="H1495" s="59">
        <f t="shared" si="52"/>
        <v>0</v>
      </c>
      <c r="I1495" s="60"/>
    </row>
    <row r="1496" spans="1:9" x14ac:dyDescent="0.2">
      <c r="A1496" s="73">
        <v>159</v>
      </c>
      <c r="B1496" s="61">
        <f>Obv!C40</f>
        <v>29</v>
      </c>
      <c r="C1496" s="61">
        <f>Obv!D40</f>
        <v>32500</v>
      </c>
      <c r="D1496" s="61">
        <v>0</v>
      </c>
      <c r="E1496" s="61">
        <v>0</v>
      </c>
      <c r="F1496" s="61">
        <v>0</v>
      </c>
      <c r="G1496" s="59">
        <f t="shared" si="51"/>
        <v>942.5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153462</v>
      </c>
      <c r="D1503" s="61">
        <v>0</v>
      </c>
      <c r="E1503" s="61">
        <v>0</v>
      </c>
      <c r="F1503" s="61">
        <v>0</v>
      </c>
      <c r="G1503" s="59">
        <f t="shared" si="53"/>
        <v>5524.6319999999996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153462</v>
      </c>
      <c r="D1557" s="61">
        <v>0</v>
      </c>
      <c r="E1557" s="61">
        <v>0</v>
      </c>
      <c r="F1557" s="61">
        <v>0</v>
      </c>
      <c r="G1557" s="59">
        <f t="shared" si="55"/>
        <v>13811.58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142793</v>
      </c>
      <c r="D1559" s="61">
        <v>0</v>
      </c>
      <c r="E1559" s="61">
        <v>0</v>
      </c>
      <c r="F1559" s="61">
        <v>0</v>
      </c>
      <c r="G1559" s="59">
        <f t="shared" si="55"/>
        <v>13136.956</v>
      </c>
      <c r="H1559" s="59">
        <f t="shared" si="56"/>
        <v>0</v>
      </c>
      <c r="I1559" s="60"/>
    </row>
    <row r="1560" spans="1:9" x14ac:dyDescent="0.2">
      <c r="A1560" s="73">
        <v>159</v>
      </c>
      <c r="B1560" s="61">
        <f>Obv!C104</f>
        <v>93</v>
      </c>
      <c r="C1560" s="61">
        <f>Obv!D104</f>
        <v>10669</v>
      </c>
      <c r="D1560" s="61">
        <v>0</v>
      </c>
      <c r="E1560" s="61">
        <v>0</v>
      </c>
      <c r="F1560" s="61">
        <v>0</v>
      </c>
      <c r="G1560" s="59">
        <f t="shared" si="55"/>
        <v>992.21699999999998</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44477</v>
      </c>
      <c r="C4" s="450"/>
      <c r="D4" s="415">
        <f>SUM(Skriveni!G1424:G1467)</f>
        <v>0</v>
      </c>
      <c r="E4" s="416"/>
    </row>
    <row r="5" spans="1:6" ht="15" customHeight="1" x14ac:dyDescent="0.2">
      <c r="B5" s="413" t="str">
        <f>"Naziv: "&amp;IF(RefStr!B10&lt;&gt;"",RefStr!B10,"_______________________________________")</f>
        <v>Naziv: MUZEJ SUVREMENE UMJETNOSTI ISTRE</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Brkić</v>
      </c>
      <c r="B59" s="291"/>
      <c r="D59" s="293"/>
      <c r="E59" s="293"/>
      <c r="F59" s="291"/>
      <c r="G59" s="307"/>
    </row>
    <row r="60" spans="1:7" s="292" customFormat="1" ht="15" customHeight="1" x14ac:dyDescent="0.2">
      <c r="A60" s="291" t="str">
        <f>IF(RefStr!H27="","Telefon za kontakt: _________________","Telefon za kontakt: " &amp; RefStr!H27)</f>
        <v>Telefon za kontakt: 052522610</v>
      </c>
      <c r="B60" s="291"/>
      <c r="F60" s="291"/>
      <c r="G60" s="307"/>
    </row>
    <row r="61" spans="1:7" s="292" customFormat="1" ht="15" customHeight="1" x14ac:dyDescent="0.2">
      <c r="A61" s="291" t="str">
        <f>IF(RefStr!H33="","Odgovorna osoba: _____________________________","Odgovorna osoba: " &amp; RefStr!H33)</f>
        <v>Odgovorna osoba: Ketrin Milićević Mijošek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tabSelected="1" workbookViewId="0">
      <pane ySplit="1" topLeftCell="A2" activePane="bottomLeft" state="frozen"/>
      <selection pane="bottomLeft" activeCell="D23" sqref="D2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44477</v>
      </c>
      <c r="C4" s="415">
        <f>SUM(Skriveni!G1468:G1561)</f>
        <v>122623.05300000001</v>
      </c>
      <c r="D4" s="416"/>
    </row>
    <row r="5" spans="1:5" s="23" customFormat="1" ht="15" customHeight="1" x14ac:dyDescent="0.2">
      <c r="B5" s="98" t="str">
        <f>"Naziv: "&amp;IF(RefStr!B10&lt;&gt;"",RefStr!B10,"_______________________________________")</f>
        <v>Naziv: MUZEJ SUVREMENE UMJETNOSTI ISTRE</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9102 Djelatnosti muzeja</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208651</v>
      </c>
    </row>
    <row r="13" spans="1:5" s="2" customFormat="1" x14ac:dyDescent="0.2">
      <c r="A13" s="270"/>
      <c r="B13" s="271" t="s">
        <v>2062</v>
      </c>
      <c r="C13" s="264">
        <v>2</v>
      </c>
      <c r="D13" s="140">
        <f>D14+D15+D23+D24</f>
        <v>1149514</v>
      </c>
    </row>
    <row r="14" spans="1:5" s="2" customFormat="1" x14ac:dyDescent="0.2">
      <c r="A14" s="270"/>
      <c r="B14" s="271" t="s">
        <v>4041</v>
      </c>
      <c r="C14" s="264">
        <v>3</v>
      </c>
      <c r="D14" s="141"/>
    </row>
    <row r="15" spans="1:5" s="2" customFormat="1" x14ac:dyDescent="0.2">
      <c r="A15" s="270" t="s">
        <v>1181</v>
      </c>
      <c r="B15" s="271" t="s">
        <v>3078</v>
      </c>
      <c r="C15" s="264">
        <v>4</v>
      </c>
      <c r="D15" s="140">
        <f>SUM(D16:D22)</f>
        <v>1126345</v>
      </c>
    </row>
    <row r="16" spans="1:5" s="2" customFormat="1" x14ac:dyDescent="0.2">
      <c r="A16" s="272" t="s">
        <v>1182</v>
      </c>
      <c r="B16" s="273" t="s">
        <v>1183</v>
      </c>
      <c r="C16" s="264">
        <v>5</v>
      </c>
      <c r="D16" s="141">
        <v>501481</v>
      </c>
    </row>
    <row r="17" spans="1:4" s="2" customFormat="1" x14ac:dyDescent="0.2">
      <c r="A17" s="272" t="s">
        <v>1184</v>
      </c>
      <c r="B17" s="273" t="s">
        <v>1185</v>
      </c>
      <c r="C17" s="264">
        <v>6</v>
      </c>
      <c r="D17" s="141">
        <v>549864</v>
      </c>
    </row>
    <row r="18" spans="1:4" s="2" customFormat="1" x14ac:dyDescent="0.2">
      <c r="A18" s="272" t="s">
        <v>1186</v>
      </c>
      <c r="B18" s="273" t="s">
        <v>1187</v>
      </c>
      <c r="C18" s="264">
        <v>7</v>
      </c>
      <c r="D18" s="141">
        <v>189</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74811</v>
      </c>
    </row>
    <row r="23" spans="1:4" s="2" customFormat="1" x14ac:dyDescent="0.2">
      <c r="A23" s="270" t="s">
        <v>3033</v>
      </c>
      <c r="B23" s="271" t="s">
        <v>3034</v>
      </c>
      <c r="C23" s="264">
        <v>12</v>
      </c>
      <c r="D23" s="141">
        <v>23169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1204703</v>
      </c>
    </row>
    <row r="31" spans="1:4" s="2" customFormat="1" x14ac:dyDescent="0.2">
      <c r="A31" s="272"/>
      <c r="B31" s="271" t="s">
        <v>4041</v>
      </c>
      <c r="C31" s="264">
        <v>20</v>
      </c>
      <c r="D31" s="141"/>
    </row>
    <row r="32" spans="1:4" s="2" customFormat="1" x14ac:dyDescent="0.2">
      <c r="A32" s="270" t="s">
        <v>1181</v>
      </c>
      <c r="B32" s="271" t="s">
        <v>3081</v>
      </c>
      <c r="C32" s="264">
        <v>21</v>
      </c>
      <c r="D32" s="140">
        <f>SUM(D33:D39)</f>
        <v>1172203</v>
      </c>
    </row>
    <row r="33" spans="1:4" s="2" customFormat="1" x14ac:dyDescent="0.2">
      <c r="A33" s="272" t="s">
        <v>1182</v>
      </c>
      <c r="B33" s="273" t="s">
        <v>1183</v>
      </c>
      <c r="C33" s="264">
        <v>22</v>
      </c>
      <c r="D33" s="141">
        <v>501615</v>
      </c>
    </row>
    <row r="34" spans="1:4" s="2" customFormat="1" x14ac:dyDescent="0.2">
      <c r="A34" s="272" t="s">
        <v>1184</v>
      </c>
      <c r="B34" s="273" t="s">
        <v>1185</v>
      </c>
      <c r="C34" s="264">
        <v>23</v>
      </c>
      <c r="D34" s="141">
        <v>604698</v>
      </c>
    </row>
    <row r="35" spans="1:4" s="2" customFormat="1" x14ac:dyDescent="0.2">
      <c r="A35" s="272" t="s">
        <v>1186</v>
      </c>
      <c r="B35" s="273" t="s">
        <v>1187</v>
      </c>
      <c r="C35" s="264">
        <v>24</v>
      </c>
      <c r="D35" s="141">
        <v>219</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65671</v>
      </c>
    </row>
    <row r="40" spans="1:4" s="2" customFormat="1" x14ac:dyDescent="0.2">
      <c r="A40" s="275" t="s">
        <v>3033</v>
      </c>
      <c r="B40" s="271" t="s">
        <v>3034</v>
      </c>
      <c r="C40" s="264">
        <v>29</v>
      </c>
      <c r="D40" s="141">
        <v>32500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153462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153462</v>
      </c>
    </row>
    <row r="102" spans="1:5" s="2" customFormat="1" x14ac:dyDescent="0.2">
      <c r="A102" s="272"/>
      <c r="B102" s="280" t="s">
        <v>4041</v>
      </c>
      <c r="C102" s="264">
        <v>91</v>
      </c>
      <c r="D102" s="141"/>
    </row>
    <row r="103" spans="1:5" s="2" customFormat="1" x14ac:dyDescent="0.2">
      <c r="A103" s="272" t="s">
        <v>1181</v>
      </c>
      <c r="B103" s="280" t="s">
        <v>1365</v>
      </c>
      <c r="C103" s="264">
        <v>92</v>
      </c>
      <c r="D103" s="141">
        <v>142793</v>
      </c>
    </row>
    <row r="104" spans="1:5" s="2" customFormat="1" x14ac:dyDescent="0.2">
      <c r="A104" s="272" t="s">
        <v>3033</v>
      </c>
      <c r="B104" s="280" t="s">
        <v>3034</v>
      </c>
      <c r="C104" s="264">
        <v>93</v>
      </c>
      <c r="D104" s="141">
        <v>10669</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Brkić</v>
      </c>
      <c r="B109" s="291"/>
      <c r="C109" s="293"/>
      <c r="D109" s="293"/>
      <c r="E109" s="291"/>
    </row>
    <row r="110" spans="1:5" s="292" customFormat="1" ht="15" customHeight="1" x14ac:dyDescent="0.2">
      <c r="A110" s="291" t="str">
        <f>IF(RefStr!H27="","Telefon za kontakt: _________________","Telefon za kontakt: " &amp; RefStr!H27)</f>
        <v>Telefon za kontakt: 052522610</v>
      </c>
      <c r="B110" s="291"/>
      <c r="E110" s="291"/>
    </row>
    <row r="111" spans="1:5" s="292" customFormat="1" ht="15" customHeight="1" x14ac:dyDescent="0.2">
      <c r="A111" s="291" t="str">
        <f>IF(RefStr!H33="","Odgovorna osoba: _____________________________","Odgovorna osoba: " &amp; RefStr!H33)</f>
        <v>Odgovorna osoba: Ketrin Milićević Mijošek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68"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44477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0</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1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1561</v>
      </c>
      <c r="B1" s="368"/>
      <c r="C1" s="359" t="s">
        <v>2063</v>
      </c>
      <c r="D1" s="359"/>
      <c r="E1" s="359" t="s">
        <v>2064</v>
      </c>
      <c r="F1" s="359"/>
      <c r="G1" s="359" t="s">
        <v>2065</v>
      </c>
      <c r="H1" s="359"/>
      <c r="I1" s="359"/>
      <c r="J1" s="359" t="s">
        <v>1740</v>
      </c>
      <c r="K1" s="360"/>
    </row>
    <row r="2" spans="1:11" ht="32.1" customHeight="1" x14ac:dyDescent="0.2">
      <c r="A2" s="18"/>
      <c r="B2" s="18"/>
      <c r="C2" s="18"/>
      <c r="D2" s="18"/>
      <c r="E2" s="18"/>
      <c r="F2" s="18"/>
      <c r="H2" s="102">
        <f>LOOKUP(B22,A107:A663,C107:C663)</f>
        <v>18</v>
      </c>
      <c r="I2" s="18"/>
      <c r="J2" s="361" t="s">
        <v>3715</v>
      </c>
      <c r="K2" s="361"/>
    </row>
    <row r="3" spans="1:11" ht="5.0999999999999996" customHeight="1" x14ac:dyDescent="0.2">
      <c r="B3" s="4"/>
      <c r="C3" s="4"/>
      <c r="D3" s="4"/>
      <c r="E3" s="4"/>
      <c r="F3" s="4"/>
      <c r="G3" s="4"/>
      <c r="H3" s="4"/>
      <c r="I3" s="4"/>
    </row>
    <row r="4" spans="1:11" ht="35.1" customHeight="1" x14ac:dyDescent="0.4">
      <c r="A4" s="390" t="s">
        <v>3518</v>
      </c>
      <c r="B4" s="390"/>
      <c r="C4" s="390"/>
      <c r="D4" s="390"/>
      <c r="E4" s="390"/>
      <c r="F4" s="390"/>
      <c r="G4" s="390"/>
      <c r="H4" s="390"/>
      <c r="I4" s="390"/>
      <c r="J4" s="390"/>
      <c r="K4" s="390"/>
    </row>
    <row r="5" spans="1:11" ht="39.950000000000003" customHeight="1" x14ac:dyDescent="0.2">
      <c r="A5" s="362" t="str">
        <f>IF(AND(K10&lt;&gt;"",K12&lt;&gt;""), "za razdoblje: " &amp; TEXT(K10, "d. mmmm yyyy.") &amp; "   –   " &amp; TEXT(K12, "d. mmmm yyyy."),"za razdoblje od ________________ do ______________")</f>
        <v>za razdoblje: 1. siječanj 2018.   –   31. prosinac 2018.</v>
      </c>
      <c r="B5" s="362"/>
      <c r="C5" s="362"/>
      <c r="D5" s="362"/>
      <c r="E5" s="362"/>
      <c r="F5" s="362"/>
      <c r="G5" s="362"/>
      <c r="H5" s="362"/>
      <c r="I5" s="362"/>
      <c r="J5" s="362"/>
      <c r="K5" s="362"/>
    </row>
    <row r="6" spans="1:11" ht="15" customHeight="1" x14ac:dyDescent="0.2">
      <c r="A6" s="22" t="s">
        <v>3124</v>
      </c>
      <c r="B6" s="26">
        <v>44477</v>
      </c>
      <c r="C6" s="12"/>
      <c r="D6" s="394" t="s">
        <v>3128</v>
      </c>
      <c r="E6" s="395"/>
      <c r="F6" s="15" t="s">
        <v>237</v>
      </c>
      <c r="G6" s="12"/>
      <c r="H6" s="12"/>
      <c r="I6" s="12"/>
      <c r="J6" s="363">
        <f>SUM(Skriveni!G2:G1561)</f>
        <v>28985413.964999996</v>
      </c>
      <c r="K6" s="363"/>
    </row>
    <row r="7" spans="1:11" ht="3" customHeight="1" x14ac:dyDescent="0.2">
      <c r="A7" s="12"/>
      <c r="B7" s="12"/>
      <c r="C7" s="12"/>
      <c r="D7" s="12"/>
      <c r="E7" s="12"/>
      <c r="F7" s="12"/>
      <c r="G7" s="12"/>
      <c r="H7" s="12"/>
      <c r="I7" s="12"/>
      <c r="J7" s="12"/>
      <c r="K7" s="12"/>
    </row>
    <row r="8" spans="1:11" ht="15" customHeight="1" x14ac:dyDescent="0.2">
      <c r="A8" s="22" t="s">
        <v>3125</v>
      </c>
      <c r="B8" s="27">
        <v>2396025</v>
      </c>
      <c r="C8" s="375" t="s">
        <v>860</v>
      </c>
      <c r="D8" s="376"/>
      <c r="E8" s="376"/>
      <c r="F8" s="376"/>
      <c r="G8" s="376"/>
      <c r="H8" s="377"/>
      <c r="I8" s="167" t="s">
        <v>867</v>
      </c>
      <c r="J8" s="364" t="s">
        <v>3132</v>
      </c>
      <c r="K8" s="364"/>
    </row>
    <row r="9" spans="1:11" ht="3" customHeight="1" x14ac:dyDescent="0.2">
      <c r="A9" s="12"/>
      <c r="B9" s="12"/>
      <c r="C9" s="12"/>
      <c r="D9" s="12"/>
      <c r="E9" s="12"/>
      <c r="F9" s="12"/>
      <c r="G9" s="12"/>
      <c r="H9" s="12"/>
      <c r="I9" s="12"/>
      <c r="J9" s="12"/>
      <c r="K9" s="12"/>
    </row>
    <row r="10" spans="1:11" ht="15" customHeight="1" x14ac:dyDescent="0.2">
      <c r="A10" s="22" t="s">
        <v>3126</v>
      </c>
      <c r="B10" s="399" t="s">
        <v>4293</v>
      </c>
      <c r="C10" s="400"/>
      <c r="D10" s="400"/>
      <c r="E10" s="400"/>
      <c r="F10" s="400"/>
      <c r="G10" s="400"/>
      <c r="H10" s="400"/>
      <c r="I10" s="40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52100</v>
      </c>
      <c r="C12" s="391" t="s">
        <v>4017</v>
      </c>
      <c r="D12" s="392"/>
      <c r="E12" s="392"/>
      <c r="F12" s="392"/>
      <c r="G12" s="393"/>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51" t="s">
        <v>4294</v>
      </c>
      <c r="C14" s="352"/>
      <c r="D14" s="352"/>
      <c r="E14" s="352"/>
      <c r="F14" s="352"/>
      <c r="G14" s="353"/>
      <c r="H14" s="12"/>
      <c r="I14" s="12"/>
      <c r="J14" s="22" t="s">
        <v>3764</v>
      </c>
      <c r="K14" s="45">
        <v>59485940105</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65" t="str">
        <f>IF(B16&gt;0,LOOKUP(B16,A66:A74,B66:B74),"Razina nije upisana")</f>
        <v>Proračunski korisnik jedinice lokalne i područne (regionalne) samouprave</v>
      </c>
      <c r="D16" s="366"/>
      <c r="E16" s="366"/>
      <c r="F16" s="366"/>
      <c r="G16" s="366"/>
      <c r="H16" s="366"/>
      <c r="I16" s="366"/>
      <c r="J16" s="366"/>
      <c r="K16" s="366"/>
    </row>
    <row r="17" spans="1:11" ht="3" customHeight="1" x14ac:dyDescent="0.2">
      <c r="A17" s="13"/>
      <c r="B17" s="12"/>
      <c r="C17" s="170"/>
      <c r="D17" s="170"/>
      <c r="E17" s="170"/>
      <c r="F17" s="170"/>
      <c r="G17" s="170"/>
      <c r="H17" s="170"/>
      <c r="I17" s="170"/>
      <c r="J17" s="170"/>
      <c r="K17" s="170"/>
    </row>
    <row r="18" spans="1:11" ht="15" customHeight="1" x14ac:dyDescent="0.2">
      <c r="A18" s="22" t="s">
        <v>3129</v>
      </c>
      <c r="B18" s="29">
        <v>9102</v>
      </c>
      <c r="C18" s="365" t="str">
        <f xml:space="preserve"> IF(B18&gt;0,LOOKUP(B18,Sifre!A255:A869,Sifre!B255:B869),"Djelatnost nije upisana")</f>
        <v>Djelatnosti muzeja</v>
      </c>
      <c r="D18" s="366"/>
      <c r="E18" s="366"/>
      <c r="F18" s="366"/>
      <c r="G18" s="366"/>
      <c r="H18" s="366"/>
      <c r="I18" s="366"/>
      <c r="J18" s="366"/>
      <c r="K18" s="366"/>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5" t="str">
        <f>IF(B20&lt;&gt;"","Razdjel: " &amp; LOOKUP(B20,A666:A713,B666:B713),"Razdjel nije upisan")</f>
        <v>Razdjel: NEMA RAZDJELA</v>
      </c>
      <c r="D20" s="366"/>
      <c r="E20" s="366"/>
      <c r="F20" s="366"/>
      <c r="G20" s="366"/>
      <c r="H20" s="366"/>
      <c r="I20" s="366"/>
      <c r="J20" s="366"/>
      <c r="K20" s="366"/>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359</v>
      </c>
      <c r="C22" s="365" t="str">
        <f>IF(B22&gt;0, "Županija: " &amp; LOOKUP(H2,A83:A103,B83:B103) &amp; ", grad/općina: " &amp; LOOKUP(B22,A107:A663,B107:B663),"Šifra grada/općine nije upisana")</f>
        <v>Županija: ISTARSKA, grad/općina: PULA</v>
      </c>
      <c r="D22" s="366"/>
      <c r="E22" s="366"/>
      <c r="F22" s="366"/>
      <c r="G22" s="366"/>
      <c r="H22" s="366"/>
      <c r="I22" s="366"/>
      <c r="J22" s="366"/>
      <c r="K22" s="366"/>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8" t="s">
        <v>1978</v>
      </c>
      <c r="E24" s="409"/>
      <c r="F24" s="409"/>
      <c r="G24" s="12"/>
      <c r="H24" s="12"/>
      <c r="I24" s="12"/>
      <c r="J24" s="12"/>
      <c r="K24" s="12"/>
    </row>
    <row r="25" spans="1:11" ht="15" customHeight="1" x14ac:dyDescent="0.2">
      <c r="A25" s="387" t="s">
        <v>1462</v>
      </c>
      <c r="B25" s="39" t="str">
        <f>IF(SUM(Skriveni!C2:F642)=0,"NE", "DA")</f>
        <v>DA</v>
      </c>
      <c r="C25" s="357" t="s">
        <v>818</v>
      </c>
      <c r="D25" s="378"/>
      <c r="E25" s="82" t="str">
        <f>IF(AND(B25="DA",Kont!E23&gt;0),Kont!E23,"Nema")</f>
        <v>Nema</v>
      </c>
      <c r="F25" s="12"/>
      <c r="G25" s="22" t="s">
        <v>3680</v>
      </c>
      <c r="H25" s="370" t="s">
        <v>4295</v>
      </c>
      <c r="I25" s="407"/>
      <c r="J25" s="407"/>
      <c r="K25" s="371"/>
    </row>
    <row r="26" spans="1:11" ht="3" customHeight="1" x14ac:dyDescent="0.2">
      <c r="A26" s="388"/>
      <c r="B26" s="32"/>
      <c r="C26" s="33"/>
      <c r="D26" s="34"/>
      <c r="E26" s="35"/>
      <c r="G26" s="13"/>
      <c r="H26" s="12"/>
      <c r="I26" s="12"/>
      <c r="J26" s="12"/>
      <c r="K26" s="12"/>
    </row>
    <row r="27" spans="1:11" ht="15" customHeight="1" x14ac:dyDescent="0.2">
      <c r="A27" s="388"/>
      <c r="B27" s="39" t="str">
        <f>IF(SUM(Skriveni!C977:D1225)&lt;&gt;0,"DA","NE")</f>
        <v>DA</v>
      </c>
      <c r="C27" s="357" t="s">
        <v>2601</v>
      </c>
      <c r="D27" s="358"/>
      <c r="E27" s="82" t="str">
        <f>IF(AND(B27="DA",Kont!E261&gt;0),Kont!E261,"Nema")</f>
        <v>Nema</v>
      </c>
      <c r="F27" s="12"/>
      <c r="G27" s="22" t="s">
        <v>3681</v>
      </c>
      <c r="H27" s="370" t="s">
        <v>4296</v>
      </c>
      <c r="I27" s="371"/>
      <c r="J27" s="13" t="s">
        <v>1447</v>
      </c>
      <c r="K27" s="15"/>
    </row>
    <row r="28" spans="1:11" ht="3" customHeight="1" x14ac:dyDescent="0.2">
      <c r="A28" s="388"/>
      <c r="F28" s="12"/>
      <c r="G28" s="12"/>
      <c r="H28" s="12"/>
      <c r="I28" s="12"/>
      <c r="J28" s="12"/>
      <c r="K28" s="12"/>
    </row>
    <row r="29" spans="1:11" ht="15" customHeight="1" x14ac:dyDescent="0.2">
      <c r="A29" s="388"/>
      <c r="B29" s="39" t="str">
        <f>IF(SUM(Skriveni!C1287:D1422)&lt;&gt;0,"DA","NE")</f>
        <v>DA</v>
      </c>
      <c r="C29" s="379" t="s">
        <v>819</v>
      </c>
      <c r="D29" s="380"/>
      <c r="E29" s="82" t="str">
        <f>IF(AND(B29="DA",Kont!E297&gt;0),Kont!E297,"Nema")</f>
        <v>Nema</v>
      </c>
      <c r="F29" s="12"/>
      <c r="G29" s="22" t="s">
        <v>1448</v>
      </c>
      <c r="H29" s="354" t="s">
        <v>4297</v>
      </c>
      <c r="I29" s="355"/>
      <c r="J29" s="355"/>
      <c r="K29" s="356"/>
    </row>
    <row r="30" spans="1:11" ht="3" customHeight="1" x14ac:dyDescent="0.2">
      <c r="A30" s="388"/>
      <c r="B30" s="32"/>
      <c r="C30" s="33"/>
      <c r="D30" s="34"/>
      <c r="E30" s="35"/>
      <c r="F30" s="12"/>
      <c r="G30" s="12"/>
      <c r="H30" s="12"/>
      <c r="I30" s="12"/>
      <c r="J30" s="12"/>
      <c r="K30" s="12"/>
    </row>
    <row r="31" spans="1:11" ht="15" customHeight="1" x14ac:dyDescent="0.2">
      <c r="A31" s="388"/>
      <c r="B31" s="183" t="s">
        <v>4300</v>
      </c>
      <c r="C31" s="357" t="s">
        <v>1591</v>
      </c>
      <c r="D31" s="358"/>
      <c r="E31" s="82" t="str">
        <f>IF(Kont!E292&gt;0,Kont!E292,"Nema")</f>
        <v>Nema</v>
      </c>
      <c r="F31" s="12"/>
      <c r="G31" s="13" t="s">
        <v>1449</v>
      </c>
      <c r="H31" s="354" t="s">
        <v>4298</v>
      </c>
      <c r="I31" s="355"/>
      <c r="J31" s="355"/>
      <c r="K31" s="356"/>
    </row>
    <row r="32" spans="1:11" ht="3" customHeight="1" x14ac:dyDescent="0.2">
      <c r="A32" s="388"/>
      <c r="B32" s="32"/>
      <c r="C32" s="33"/>
      <c r="D32" s="34"/>
      <c r="E32" s="35"/>
      <c r="F32" s="12"/>
      <c r="G32" s="12"/>
      <c r="H32" s="12"/>
      <c r="I32" s="12"/>
      <c r="J32" s="12"/>
      <c r="K32" s="12"/>
    </row>
    <row r="33" spans="1:11" ht="15" customHeight="1" x14ac:dyDescent="0.2">
      <c r="A33" s="389"/>
      <c r="B33" s="39" t="str">
        <f>IF(SUM(Skriveni!C1468:C1550)&lt;&gt;0,"DA","NE")</f>
        <v>DA</v>
      </c>
      <c r="C33" s="373" t="s">
        <v>1210</v>
      </c>
      <c r="D33" s="374"/>
      <c r="E33" s="82" t="str">
        <f>IF(AND(B33="DA",Kont!E288&gt;0),Kont!E288,"Nema")</f>
        <v>Nema</v>
      </c>
      <c r="F33" s="12"/>
      <c r="G33" s="22" t="s">
        <v>735</v>
      </c>
      <c r="H33" s="351" t="s">
        <v>4299</v>
      </c>
      <c r="I33" s="352"/>
      <c r="J33" s="352"/>
      <c r="K33" s="35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1" t="str">
        <f>IF(Kont!E3&gt;0,"Izvještaj sadrži pogreške, broj pogrešaka: " &amp; Kont!E3,IF(J6=0,"Izvještaj je prazan","Izvještaj nema pogrešaka"))</f>
        <v>Izvještaj nema pogrešaka</v>
      </c>
      <c r="I35" s="382"/>
      <c r="J35" s="382"/>
      <c r="K35" s="38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2" t="s">
        <v>2060</v>
      </c>
      <c r="C38" s="372"/>
      <c r="D38" s="372"/>
      <c r="E38" s="372"/>
      <c r="F38" s="372"/>
      <c r="G38" s="372"/>
      <c r="H38" s="372"/>
      <c r="I38" s="109" t="s">
        <v>1683</v>
      </c>
      <c r="J38" s="110" t="s">
        <v>1685</v>
      </c>
      <c r="K38" s="111" t="s">
        <v>1684</v>
      </c>
    </row>
    <row r="39" spans="1:11" ht="12.95" customHeight="1" x14ac:dyDescent="0.2">
      <c r="A39" s="384" t="s">
        <v>3714</v>
      </c>
      <c r="B39" s="405" t="str">
        <f>PRRAS!B12</f>
        <v xml:space="preserve">PRIHODI POSLOVANJA (AOP 002+039+045+074+105+123+130+136) </v>
      </c>
      <c r="C39" s="405"/>
      <c r="D39" s="405"/>
      <c r="E39" s="405"/>
      <c r="F39" s="405"/>
      <c r="G39" s="405"/>
      <c r="H39" s="405"/>
      <c r="I39" s="112">
        <f>PRRAS!C12</f>
        <v>1</v>
      </c>
      <c r="J39" s="113">
        <f>PRRAS!D12</f>
        <v>1045804</v>
      </c>
      <c r="K39" s="114">
        <f>PRRAS!E12</f>
        <v>1062816</v>
      </c>
    </row>
    <row r="40" spans="1:11" ht="12.95" customHeight="1" x14ac:dyDescent="0.2">
      <c r="A40" s="385"/>
      <c r="B40" s="369" t="str">
        <f>PRRAS!B159</f>
        <v xml:space="preserve">RASHODI POSLOVANJA (AOP 149+160+193+212+221+246+257) </v>
      </c>
      <c r="C40" s="402"/>
      <c r="D40" s="402"/>
      <c r="E40" s="402"/>
      <c r="F40" s="402"/>
      <c r="G40" s="402"/>
      <c r="H40" s="402"/>
      <c r="I40" s="115">
        <f>PRRAS!C159</f>
        <v>148</v>
      </c>
      <c r="J40" s="116">
        <f>PRRAS!D159</f>
        <v>850772</v>
      </c>
      <c r="K40" s="117">
        <f>PRRAS!E159</f>
        <v>979008</v>
      </c>
    </row>
    <row r="41" spans="1:11" ht="12.95" customHeight="1" x14ac:dyDescent="0.2">
      <c r="A41" s="385"/>
      <c r="B41" s="369" t="str">
        <f>PRRAS!B648</f>
        <v>Višak prihoda i primitaka raspoloživ u sljedećem razdoblju (AOP 631+633-632-634)</v>
      </c>
      <c r="C41" s="402"/>
      <c r="D41" s="402"/>
      <c r="E41" s="402"/>
      <c r="F41" s="402"/>
      <c r="G41" s="402"/>
      <c r="H41" s="402"/>
      <c r="I41" s="115">
        <f>PRRAS!C648</f>
        <v>635</v>
      </c>
      <c r="J41" s="116">
        <f>PRRAS!D648</f>
        <v>77401</v>
      </c>
      <c r="K41" s="117">
        <f>PRRAS!E648</f>
        <v>15334</v>
      </c>
    </row>
    <row r="42" spans="1:11" ht="12.95" customHeight="1" x14ac:dyDescent="0.2">
      <c r="A42" s="386"/>
      <c r="B42" s="403" t="str">
        <f>PRRAS!B649</f>
        <v>Manjak prihoda i primitaka za pokriće u sljedećem razdoblju (AOP 632+634-631-633)</v>
      </c>
      <c r="C42" s="404"/>
      <c r="D42" s="404"/>
      <c r="E42" s="404"/>
      <c r="F42" s="404"/>
      <c r="G42" s="404"/>
      <c r="H42" s="404"/>
      <c r="I42" s="118">
        <f>PRRAS!C649</f>
        <v>636</v>
      </c>
      <c r="J42" s="119">
        <f>PRRAS!D649</f>
        <v>0</v>
      </c>
      <c r="K42" s="120">
        <f>PRRAS!E649</f>
        <v>0</v>
      </c>
    </row>
    <row r="43" spans="1:11" ht="12.95" customHeight="1" x14ac:dyDescent="0.2">
      <c r="A43" s="384" t="s">
        <v>2272</v>
      </c>
      <c r="B43" s="405" t="str">
        <f>Bil!B13</f>
        <v>Nefinancijska imovina (AOP 003+007+046+047+051+058)</v>
      </c>
      <c r="C43" s="406"/>
      <c r="D43" s="406"/>
      <c r="E43" s="406"/>
      <c r="F43" s="406"/>
      <c r="G43" s="406"/>
      <c r="H43" s="406"/>
      <c r="I43" s="112">
        <f>Bil!C13</f>
        <v>2</v>
      </c>
      <c r="J43" s="113">
        <f>Bil!D13</f>
        <v>2787286</v>
      </c>
      <c r="K43" s="114">
        <f>Bil!E13</f>
        <v>3276537</v>
      </c>
    </row>
    <row r="44" spans="1:11" ht="12.95" customHeight="1" x14ac:dyDescent="0.2">
      <c r="A44" s="385"/>
      <c r="B44" s="369" t="str">
        <f>Bil!B74</f>
        <v>Financijska imovina (AOP 064+073+081+112+128+140+157+158)</v>
      </c>
      <c r="C44" s="402"/>
      <c r="D44" s="402"/>
      <c r="E44" s="402"/>
      <c r="F44" s="402"/>
      <c r="G44" s="402"/>
      <c r="H44" s="402"/>
      <c r="I44" s="115">
        <f>Bil!C74</f>
        <v>63</v>
      </c>
      <c r="J44" s="116">
        <f>Bil!D74</f>
        <v>198138</v>
      </c>
      <c r="K44" s="117">
        <f>Bil!E74</f>
        <v>168796</v>
      </c>
    </row>
    <row r="45" spans="1:11" ht="12.95" customHeight="1" x14ac:dyDescent="0.2">
      <c r="A45" s="385"/>
      <c r="B45" s="369" t="str">
        <f>Bil!B174</f>
        <v xml:space="preserve">Obveze (AOP 164+175+176+192+220) </v>
      </c>
      <c r="C45" s="402"/>
      <c r="D45" s="402"/>
      <c r="E45" s="402"/>
      <c r="F45" s="402"/>
      <c r="G45" s="402"/>
      <c r="H45" s="402"/>
      <c r="I45" s="115">
        <f>Bil!C174</f>
        <v>163</v>
      </c>
      <c r="J45" s="116">
        <f>Bil!D174</f>
        <v>208651</v>
      </c>
      <c r="K45" s="117">
        <f>Bil!E174</f>
        <v>153462</v>
      </c>
    </row>
    <row r="46" spans="1:11" ht="12.95" customHeight="1" x14ac:dyDescent="0.2">
      <c r="A46" s="386"/>
      <c r="B46" s="403" t="str">
        <f>Bil!B234</f>
        <v>Vlastiti izvori (224 + 232 - 236 + 240 do 242)</v>
      </c>
      <c r="C46" s="404"/>
      <c r="D46" s="404"/>
      <c r="E46" s="404"/>
      <c r="F46" s="404"/>
      <c r="G46" s="404"/>
      <c r="H46" s="404"/>
      <c r="I46" s="118">
        <f>Bil!C234</f>
        <v>223</v>
      </c>
      <c r="J46" s="119">
        <f>Bil!D234</f>
        <v>2776772</v>
      </c>
      <c r="K46" s="120">
        <f>Bil!E234</f>
        <v>3291871</v>
      </c>
    </row>
    <row r="47" spans="1:11" ht="12.95" customHeight="1" x14ac:dyDescent="0.2">
      <c r="A47" s="384" t="s">
        <v>2270</v>
      </c>
      <c r="B47" s="405" t="str">
        <f>RasF!B12</f>
        <v>Opće javne usluge (AOP 002+006+009+013 do 017)</v>
      </c>
      <c r="C47" s="405"/>
      <c r="D47" s="405"/>
      <c r="E47" s="405"/>
      <c r="F47" s="405"/>
      <c r="G47" s="405"/>
      <c r="H47" s="405"/>
      <c r="I47" s="112">
        <f>RasF!C12</f>
        <v>1</v>
      </c>
      <c r="J47" s="113">
        <f>RasF!D12</f>
        <v>0</v>
      </c>
      <c r="K47" s="114">
        <f>RasF!E12</f>
        <v>0</v>
      </c>
    </row>
    <row r="48" spans="1:11" ht="12.95" customHeight="1" x14ac:dyDescent="0.2">
      <c r="A48" s="385"/>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85"/>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85"/>
      <c r="B50" s="369" t="str">
        <f>RasF!B121</f>
        <v>Obrazovanje (AOP 111+114+117+118+121 do 124)</v>
      </c>
      <c r="C50" s="369"/>
      <c r="D50" s="369"/>
      <c r="E50" s="369"/>
      <c r="F50" s="369"/>
      <c r="G50" s="369"/>
      <c r="H50" s="369"/>
      <c r="I50" s="115">
        <f>RasF!C121</f>
        <v>110</v>
      </c>
      <c r="J50" s="116">
        <f>RasF!D121</f>
        <v>0</v>
      </c>
      <c r="K50" s="117">
        <f>RasF!E121</f>
        <v>0</v>
      </c>
    </row>
    <row r="51" spans="1:11" ht="12.95" customHeight="1" x14ac:dyDescent="0.2">
      <c r="A51" s="386"/>
      <c r="B51" s="403" t="str">
        <f>RasF!B148</f>
        <v>Kontrolni zbroj (AOP 001+018+024+031+071+078+085+103+110+125)</v>
      </c>
      <c r="C51" s="403"/>
      <c r="D51" s="403"/>
      <c r="E51" s="403"/>
      <c r="F51" s="403"/>
      <c r="G51" s="403"/>
      <c r="H51" s="403"/>
      <c r="I51" s="118">
        <f>RasF!C148</f>
        <v>137</v>
      </c>
      <c r="J51" s="119">
        <f>RasF!D148</f>
        <v>1030107</v>
      </c>
      <c r="K51" s="120">
        <f>RasF!E148</f>
        <v>1056968</v>
      </c>
    </row>
    <row r="52" spans="1:11" ht="12.95" customHeight="1" x14ac:dyDescent="0.2">
      <c r="A52" s="384" t="s">
        <v>2271</v>
      </c>
      <c r="B52" s="406" t="str">
        <f>PVRIO!B12</f>
        <v>Promjene u vrijednosti i obujmu imovine (AOP 002+018)</v>
      </c>
      <c r="C52" s="406"/>
      <c r="D52" s="406"/>
      <c r="E52" s="406"/>
      <c r="F52" s="406"/>
      <c r="G52" s="406"/>
      <c r="H52" s="406"/>
      <c r="I52" s="112">
        <f>PVRIO!C12</f>
        <v>1</v>
      </c>
      <c r="J52" s="113">
        <f>PVRIO!D12</f>
        <v>0</v>
      </c>
      <c r="K52" s="114">
        <f>PVRIO!E12</f>
        <v>0</v>
      </c>
    </row>
    <row r="53" spans="1:11" ht="12.95" customHeight="1" x14ac:dyDescent="0.2">
      <c r="A53" s="385"/>
      <c r="B53" s="402" t="str">
        <f>PVRIO!B29</f>
        <v>Promjene u obujmu imovine (AOP 019+026)</v>
      </c>
      <c r="C53" s="402"/>
      <c r="D53" s="402"/>
      <c r="E53" s="402"/>
      <c r="F53" s="402"/>
      <c r="G53" s="402"/>
      <c r="H53" s="402"/>
      <c r="I53" s="115">
        <f>PVRIO!C29</f>
        <v>18</v>
      </c>
      <c r="J53" s="116">
        <f>PVRIO!D29</f>
        <v>0</v>
      </c>
      <c r="K53" s="117">
        <f>PVRIO!E29</f>
        <v>0</v>
      </c>
    </row>
    <row r="54" spans="1:11" ht="12.95" customHeight="1" x14ac:dyDescent="0.2">
      <c r="A54" s="385"/>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5" customHeight="1" x14ac:dyDescent="0.2">
      <c r="A55" s="386"/>
      <c r="B55" s="404" t="str">
        <f>PVRIO!B51</f>
        <v>Promjene u obujmu obveza (AOP 041 do 044)</v>
      </c>
      <c r="C55" s="404"/>
      <c r="D55" s="404"/>
      <c r="E55" s="404"/>
      <c r="F55" s="404"/>
      <c r="G55" s="404"/>
      <c r="H55" s="404"/>
      <c r="I55" s="118">
        <f>PVRIO!C51</f>
        <v>40</v>
      </c>
      <c r="J55" s="119">
        <f>PVRIO!D51</f>
        <v>0</v>
      </c>
      <c r="K55" s="120">
        <f>PVRIO!E51</f>
        <v>0</v>
      </c>
    </row>
    <row r="56" spans="1:11" ht="12.95" customHeight="1" x14ac:dyDescent="0.2">
      <c r="A56" s="384" t="s">
        <v>2273</v>
      </c>
      <c r="B56" s="406" t="str">
        <f>Obv!B12</f>
        <v>Stanje obveza 1. siječnja (=AOP 036* iz Izvještaja o obvezama za prethodnu godinu)</v>
      </c>
      <c r="C56" s="406"/>
      <c r="D56" s="406"/>
      <c r="E56" s="406"/>
      <c r="F56" s="406"/>
      <c r="G56" s="406"/>
      <c r="H56" s="406"/>
      <c r="I56" s="112">
        <f>Obv!C12</f>
        <v>1</v>
      </c>
      <c r="J56" s="113" t="s">
        <v>3568</v>
      </c>
      <c r="K56" s="114">
        <f>Obv!D12</f>
        <v>208651</v>
      </c>
    </row>
    <row r="57" spans="1:11" ht="12.95" customHeight="1" x14ac:dyDescent="0.2">
      <c r="A57" s="385"/>
      <c r="B57" s="369" t="str">
        <f>Obv!B47</f>
        <v>Stanje obveza na kraju izvještajnog razdoblja (AOP 001+002-019) i (AOP 037+090)</v>
      </c>
      <c r="C57" s="369"/>
      <c r="D57" s="369"/>
      <c r="E57" s="369"/>
      <c r="F57" s="369"/>
      <c r="G57" s="369"/>
      <c r="H57" s="369"/>
      <c r="I57" s="115">
        <f>Obv!C47</f>
        <v>36</v>
      </c>
      <c r="J57" s="116" t="s">
        <v>3568</v>
      </c>
      <c r="K57" s="117">
        <f>Obv!D47</f>
        <v>153462</v>
      </c>
    </row>
    <row r="58" spans="1:11" ht="12.95" customHeight="1" x14ac:dyDescent="0.2">
      <c r="A58" s="385"/>
      <c r="B58" s="369" t="str">
        <f>Obv!B48</f>
        <v>Stanje dospjelih obveza na kraju izvještajnog razdoblja (AOP 038+043+079+084)</v>
      </c>
      <c r="C58" s="369"/>
      <c r="D58" s="369"/>
      <c r="E58" s="369"/>
      <c r="F58" s="369"/>
      <c r="G58" s="369"/>
      <c r="H58" s="369"/>
      <c r="I58" s="115">
        <f>Obv!C48</f>
        <v>37</v>
      </c>
      <c r="J58" s="116" t="s">
        <v>3568</v>
      </c>
      <c r="K58" s="117">
        <f>Obv!D48</f>
        <v>0</v>
      </c>
    </row>
    <row r="59" spans="1:11" ht="12.95" customHeight="1" x14ac:dyDescent="0.2">
      <c r="A59" s="386"/>
      <c r="B59" s="403" t="str">
        <f>Obv!B101</f>
        <v>Stanje nedospjelih obveza na kraju izvještajnog razdoblja (AOP 091 do 094)</v>
      </c>
      <c r="C59" s="403"/>
      <c r="D59" s="403"/>
      <c r="E59" s="403"/>
      <c r="F59" s="403"/>
      <c r="G59" s="403"/>
      <c r="H59" s="403"/>
      <c r="I59" s="118">
        <f>Obv!C101</f>
        <v>90</v>
      </c>
      <c r="J59" s="119" t="s">
        <v>3568</v>
      </c>
      <c r="K59" s="120">
        <f>Obv!D101</f>
        <v>153462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96" t="s">
        <v>3716</v>
      </c>
      <c r="B63" s="396"/>
      <c r="C63" s="396"/>
      <c r="D63" s="396"/>
      <c r="E63" s="16"/>
      <c r="F63" s="21"/>
      <c r="G63" s="16"/>
      <c r="H63" s="397" t="s">
        <v>3135</v>
      </c>
      <c r="I63" s="398"/>
      <c r="J63" s="398"/>
      <c r="K63" s="39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5:D25"/>
    <mergeCell ref="C29:D29"/>
    <mergeCell ref="H35:K35"/>
    <mergeCell ref="A39:A42"/>
    <mergeCell ref="A47:A51"/>
    <mergeCell ref="A25:A33"/>
    <mergeCell ref="B50:H50"/>
    <mergeCell ref="H27:I27"/>
    <mergeCell ref="B38:H38"/>
    <mergeCell ref="H31:K31"/>
    <mergeCell ref="C33:D33"/>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2" activePane="bottomLeft" state="frozen"/>
      <selection pane="bottomLeft" activeCell="D93" sqref="D9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44477</v>
      </c>
      <c r="C4" s="414"/>
      <c r="D4" s="414"/>
      <c r="E4" s="415">
        <f>SUM(Skriveni!G2:G976)</f>
        <v>16593593.807999995</v>
      </c>
      <c r="F4" s="416"/>
    </row>
    <row r="5" spans="1:7" s="23" customFormat="1" ht="15" customHeight="1" x14ac:dyDescent="0.2">
      <c r="B5" s="413" t="str">
        <f>"Naziv: "&amp;IF(RefStr!B10&lt;&gt;"",RefStr!B10,"_______________________________________")</f>
        <v>Naziv: MUZEJ SUVREMENE UMJETNOSTI ISTRE</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9102 Djelatnosti muzeja</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1045804</v>
      </c>
      <c r="E12" s="147">
        <f>E13+E50+E56+E85+E116+E134+E141+E147</f>
        <v>1062816</v>
      </c>
      <c r="F12" s="148">
        <f>IF(D12&lt;&gt;0,IF(E12/D12&gt;=100,"&gt;&gt;100",E12/D12*100),"-")</f>
        <v>101.62669104344599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158499</v>
      </c>
      <c r="E56" s="147">
        <f>E57+E60+E65+E68+E71+E74+E77+E80</f>
        <v>135000</v>
      </c>
      <c r="F56" s="150">
        <f t="shared" si="0"/>
        <v>85.174038952927148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158499</v>
      </c>
      <c r="E74" s="147">
        <f>SUM(E75:E76)</f>
        <v>135000</v>
      </c>
      <c r="F74" s="150">
        <f t="shared" si="0"/>
        <v>85.174038952927148</v>
      </c>
    </row>
    <row r="75" spans="1:6" s="8" customFormat="1" x14ac:dyDescent="0.2">
      <c r="A75" s="145" t="s">
        <v>1142</v>
      </c>
      <c r="B75" s="146" t="s">
        <v>3980</v>
      </c>
      <c r="C75" s="345">
        <v>64</v>
      </c>
      <c r="D75" s="149">
        <v>158499</v>
      </c>
      <c r="E75" s="149">
        <v>135000</v>
      </c>
      <c r="F75" s="148">
        <f t="shared" si="0"/>
        <v>85.174038952927148</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169</v>
      </c>
      <c r="E85" s="147">
        <f>E86+E94+E101+E109</f>
        <v>29</v>
      </c>
      <c r="F85" s="150">
        <f t="shared" si="1"/>
        <v>17.159763313609467</v>
      </c>
    </row>
    <row r="86" spans="1:6" s="8" customFormat="1" x14ac:dyDescent="0.2">
      <c r="A86" s="145">
        <v>641</v>
      </c>
      <c r="B86" s="146" t="s">
        <v>929</v>
      </c>
      <c r="C86" s="345">
        <v>75</v>
      </c>
      <c r="D86" s="147">
        <f>SUM(D87:D93)</f>
        <v>169</v>
      </c>
      <c r="E86" s="147">
        <f>SUM(E87:E93)</f>
        <v>29</v>
      </c>
      <c r="F86" s="150">
        <f t="shared" si="1"/>
        <v>17.159763313609467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169</v>
      </c>
      <c r="E88" s="149">
        <v>29</v>
      </c>
      <c r="F88" s="148">
        <f t="shared" si="1"/>
        <v>17.159763313609467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0</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0</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40201</v>
      </c>
      <c r="E134" s="147">
        <f>E135+E138</f>
        <v>48232</v>
      </c>
      <c r="F134" s="150">
        <f t="shared" si="1"/>
        <v>119.97711499713937</v>
      </c>
    </row>
    <row r="135" spans="1:6" s="8" customFormat="1" x14ac:dyDescent="0.2">
      <c r="A135" s="145">
        <v>661</v>
      </c>
      <c r="B135" s="146" t="s">
        <v>425</v>
      </c>
      <c r="C135" s="345">
        <v>124</v>
      </c>
      <c r="D135" s="147">
        <f>SUM(D136:D137)</f>
        <v>23201</v>
      </c>
      <c r="E135" s="147">
        <f>SUM(E136:E137)</f>
        <v>25232</v>
      </c>
      <c r="F135" s="150">
        <f t="shared" si="1"/>
        <v>108.75393302012843</v>
      </c>
    </row>
    <row r="136" spans="1:6" s="8" customFormat="1" x14ac:dyDescent="0.2">
      <c r="A136" s="145">
        <v>6614</v>
      </c>
      <c r="B136" s="146" t="s">
        <v>3893</v>
      </c>
      <c r="C136" s="345">
        <v>125</v>
      </c>
      <c r="D136" s="149">
        <v>4600</v>
      </c>
      <c r="E136" s="149">
        <v>2665</v>
      </c>
      <c r="F136" s="148">
        <f t="shared" si="1"/>
        <v>57.934782608695656</v>
      </c>
    </row>
    <row r="137" spans="1:6" s="8" customFormat="1" x14ac:dyDescent="0.2">
      <c r="A137" s="145">
        <v>6615</v>
      </c>
      <c r="B137" s="146" t="s">
        <v>3894</v>
      </c>
      <c r="C137" s="345">
        <v>126</v>
      </c>
      <c r="D137" s="149">
        <v>18601</v>
      </c>
      <c r="E137" s="149">
        <v>22567</v>
      </c>
      <c r="F137" s="148">
        <f t="shared" si="1"/>
        <v>121.32143433148757</v>
      </c>
    </row>
    <row r="138" spans="1:6" s="8" customFormat="1" x14ac:dyDescent="0.2">
      <c r="A138" s="145">
        <v>663</v>
      </c>
      <c r="B138" s="151" t="s">
        <v>426</v>
      </c>
      <c r="C138" s="345">
        <v>127</v>
      </c>
      <c r="D138" s="147">
        <f>SUM(D139:D140)</f>
        <v>17000</v>
      </c>
      <c r="E138" s="147">
        <f>SUM(E139:E140)</f>
        <v>23000</v>
      </c>
      <c r="F138" s="150">
        <f t="shared" si="1"/>
        <v>135.29411764705884</v>
      </c>
    </row>
    <row r="139" spans="1:6" s="8" customFormat="1" x14ac:dyDescent="0.2">
      <c r="A139" s="145">
        <v>6631</v>
      </c>
      <c r="B139" s="146" t="s">
        <v>1502</v>
      </c>
      <c r="C139" s="345">
        <v>128</v>
      </c>
      <c r="D139" s="149">
        <v>17000</v>
      </c>
      <c r="E139" s="149">
        <v>23000</v>
      </c>
      <c r="F139" s="148">
        <f t="shared" si="1"/>
        <v>135.29411764705884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845792</v>
      </c>
      <c r="E141" s="147">
        <f>E142+E146</f>
        <v>879555</v>
      </c>
      <c r="F141" s="150">
        <f t="shared" si="1"/>
        <v>103.99187980023457</v>
      </c>
    </row>
    <row r="142" spans="1:6" s="8" customFormat="1" ht="24" x14ac:dyDescent="0.2">
      <c r="A142" s="145">
        <v>671</v>
      </c>
      <c r="B142" s="154" t="s">
        <v>1672</v>
      </c>
      <c r="C142" s="345">
        <v>131</v>
      </c>
      <c r="D142" s="147">
        <f>SUM(D143:D145)</f>
        <v>845792</v>
      </c>
      <c r="E142" s="147">
        <f>SUM(E143:E145)</f>
        <v>879555</v>
      </c>
      <c r="F142" s="150">
        <f t="shared" ref="F142:F205" si="2">IF(D142&lt;&gt;0,IF(E142/D142&gt;=100,"&gt;&gt;100",E142/D142*100),"-")</f>
        <v>103.99187980023457</v>
      </c>
    </row>
    <row r="143" spans="1:6" s="8" customFormat="1" x14ac:dyDescent="0.2">
      <c r="A143" s="145">
        <v>6711</v>
      </c>
      <c r="B143" s="146" t="s">
        <v>3582</v>
      </c>
      <c r="C143" s="345">
        <v>132</v>
      </c>
      <c r="D143" s="149">
        <v>845792</v>
      </c>
      <c r="E143" s="149">
        <v>879555</v>
      </c>
      <c r="F143" s="148">
        <f t="shared" si="2"/>
        <v>103.99187980023457</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1143</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1143</v>
      </c>
      <c r="E158" s="149"/>
      <c r="F158" s="148">
        <f t="shared" si="2"/>
        <v>0</v>
      </c>
    </row>
    <row r="159" spans="1:6" s="8" customFormat="1" x14ac:dyDescent="0.2">
      <c r="A159" s="145">
        <v>3</v>
      </c>
      <c r="B159" s="146" t="s">
        <v>430</v>
      </c>
      <c r="C159" s="345">
        <v>148</v>
      </c>
      <c r="D159" s="147">
        <f>D160+D171+D204+D223+D232+D257+D268</f>
        <v>850772</v>
      </c>
      <c r="E159" s="147">
        <f>E160+E171+E204+E223+E232+E257+E268</f>
        <v>979008</v>
      </c>
      <c r="F159" s="150">
        <f t="shared" si="2"/>
        <v>115.0728984968946</v>
      </c>
    </row>
    <row r="160" spans="1:6" s="8" customFormat="1" x14ac:dyDescent="0.2">
      <c r="A160" s="145">
        <v>31</v>
      </c>
      <c r="B160" s="146" t="s">
        <v>431</v>
      </c>
      <c r="C160" s="345">
        <v>149</v>
      </c>
      <c r="D160" s="147">
        <f>D161+D166+D167</f>
        <v>371049</v>
      </c>
      <c r="E160" s="147">
        <f>E161+E166+E167</f>
        <v>510202</v>
      </c>
      <c r="F160" s="150">
        <f t="shared" si="2"/>
        <v>137.50259399701926</v>
      </c>
    </row>
    <row r="161" spans="1:6" s="8" customFormat="1" x14ac:dyDescent="0.2">
      <c r="A161" s="145">
        <v>311</v>
      </c>
      <c r="B161" s="146" t="s">
        <v>432</v>
      </c>
      <c r="C161" s="345">
        <v>150</v>
      </c>
      <c r="D161" s="147">
        <f>SUM(D162:D165)</f>
        <v>253276</v>
      </c>
      <c r="E161" s="147">
        <f>SUM(E162:E165)</f>
        <v>342308</v>
      </c>
      <c r="F161" s="150">
        <f t="shared" si="2"/>
        <v>135.15216601651954</v>
      </c>
    </row>
    <row r="162" spans="1:6" s="8" customFormat="1" x14ac:dyDescent="0.2">
      <c r="A162" s="145">
        <v>3111</v>
      </c>
      <c r="B162" s="146" t="s">
        <v>385</v>
      </c>
      <c r="C162" s="345">
        <v>151</v>
      </c>
      <c r="D162" s="149">
        <v>253276</v>
      </c>
      <c r="E162" s="149">
        <v>342308</v>
      </c>
      <c r="F162" s="148">
        <f t="shared" si="2"/>
        <v>135.15216601651954</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c r="E166" s="149">
        <v>8721</v>
      </c>
      <c r="F166" s="148" t="str">
        <f t="shared" si="2"/>
        <v>-</v>
      </c>
    </row>
    <row r="167" spans="1:6" s="8" customFormat="1" x14ac:dyDescent="0.2">
      <c r="A167" s="145">
        <v>313</v>
      </c>
      <c r="B167" s="146" t="s">
        <v>2853</v>
      </c>
      <c r="C167" s="345">
        <v>156</v>
      </c>
      <c r="D167" s="147">
        <f>SUM(D168:D170)</f>
        <v>117773</v>
      </c>
      <c r="E167" s="147">
        <f>SUM(E168:E170)</f>
        <v>159173</v>
      </c>
      <c r="F167" s="150">
        <f t="shared" si="2"/>
        <v>135.15236938856953</v>
      </c>
    </row>
    <row r="168" spans="1:6" s="8" customFormat="1" x14ac:dyDescent="0.2">
      <c r="A168" s="145">
        <v>3131</v>
      </c>
      <c r="B168" s="146" t="s">
        <v>2235</v>
      </c>
      <c r="C168" s="345">
        <v>157</v>
      </c>
      <c r="D168" s="149">
        <v>63319</v>
      </c>
      <c r="E168" s="149">
        <v>85577</v>
      </c>
      <c r="F168" s="148">
        <f t="shared" si="2"/>
        <v>135.15216601651954</v>
      </c>
    </row>
    <row r="169" spans="1:6" s="8" customFormat="1" x14ac:dyDescent="0.2">
      <c r="A169" s="145">
        <v>3132</v>
      </c>
      <c r="B169" s="146" t="s">
        <v>2997</v>
      </c>
      <c r="C169" s="345">
        <v>158</v>
      </c>
      <c r="D169" s="149">
        <v>49072</v>
      </c>
      <c r="E169" s="149">
        <v>66322</v>
      </c>
      <c r="F169" s="148">
        <f t="shared" si="2"/>
        <v>135.15242908379523</v>
      </c>
    </row>
    <row r="170" spans="1:6" s="8" customFormat="1" x14ac:dyDescent="0.2">
      <c r="A170" s="145">
        <v>3133</v>
      </c>
      <c r="B170" s="146" t="s">
        <v>264</v>
      </c>
      <c r="C170" s="345">
        <v>159</v>
      </c>
      <c r="D170" s="149">
        <v>5382</v>
      </c>
      <c r="E170" s="149">
        <v>7274</v>
      </c>
      <c r="F170" s="148">
        <f t="shared" si="2"/>
        <v>135.15421776291342</v>
      </c>
    </row>
    <row r="171" spans="1:6" s="8" customFormat="1" x14ac:dyDescent="0.2">
      <c r="A171" s="145">
        <v>32</v>
      </c>
      <c r="B171" s="146" t="s">
        <v>433</v>
      </c>
      <c r="C171" s="345">
        <v>160</v>
      </c>
      <c r="D171" s="147">
        <f>D172+D177+D185+D195+D196</f>
        <v>477901</v>
      </c>
      <c r="E171" s="147">
        <f>E172+E177+E185+E195+E196</f>
        <v>466757</v>
      </c>
      <c r="F171" s="150">
        <f t="shared" si="2"/>
        <v>97.668136287641161</v>
      </c>
    </row>
    <row r="172" spans="1:6" s="8" customFormat="1" x14ac:dyDescent="0.2">
      <c r="A172" s="145">
        <v>321</v>
      </c>
      <c r="B172" s="146" t="s">
        <v>3359</v>
      </c>
      <c r="C172" s="345">
        <v>161</v>
      </c>
      <c r="D172" s="147">
        <f>SUM(D173:D176)</f>
        <v>18683</v>
      </c>
      <c r="E172" s="147">
        <f>SUM(E173:E176)</f>
        <v>20838</v>
      </c>
      <c r="F172" s="150">
        <f t="shared" si="2"/>
        <v>111.5345501257828</v>
      </c>
    </row>
    <row r="173" spans="1:6" s="8" customFormat="1" x14ac:dyDescent="0.2">
      <c r="A173" s="145">
        <v>3211</v>
      </c>
      <c r="B173" s="146" t="s">
        <v>3243</v>
      </c>
      <c r="C173" s="345">
        <v>162</v>
      </c>
      <c r="D173" s="149">
        <v>2027</v>
      </c>
      <c r="E173" s="149">
        <v>3651</v>
      </c>
      <c r="F173" s="148">
        <f t="shared" si="2"/>
        <v>180.11840157868772</v>
      </c>
    </row>
    <row r="174" spans="1:6" s="8" customFormat="1" x14ac:dyDescent="0.2">
      <c r="A174" s="145">
        <v>3212</v>
      </c>
      <c r="B174" s="146" t="s">
        <v>108</v>
      </c>
      <c r="C174" s="345">
        <v>163</v>
      </c>
      <c r="D174" s="149">
        <v>16056</v>
      </c>
      <c r="E174" s="149">
        <v>15675</v>
      </c>
      <c r="F174" s="148">
        <f t="shared" si="2"/>
        <v>97.627055306427508</v>
      </c>
    </row>
    <row r="175" spans="1:6" s="8" customFormat="1" x14ac:dyDescent="0.2">
      <c r="A175" s="145">
        <v>3213</v>
      </c>
      <c r="B175" s="146" t="s">
        <v>2999</v>
      </c>
      <c r="C175" s="345">
        <v>164</v>
      </c>
      <c r="D175" s="149"/>
      <c r="E175" s="149"/>
      <c r="F175" s="148" t="str">
        <f t="shared" si="2"/>
        <v>-</v>
      </c>
    </row>
    <row r="176" spans="1:6" s="8" customFormat="1" x14ac:dyDescent="0.2">
      <c r="A176" s="145">
        <v>3214</v>
      </c>
      <c r="B176" s="146" t="s">
        <v>2998</v>
      </c>
      <c r="C176" s="345">
        <v>165</v>
      </c>
      <c r="D176" s="149">
        <v>600</v>
      </c>
      <c r="E176" s="149">
        <v>1512</v>
      </c>
      <c r="F176" s="148">
        <f t="shared" si="2"/>
        <v>252</v>
      </c>
    </row>
    <row r="177" spans="1:6" s="8" customFormat="1" x14ac:dyDescent="0.2">
      <c r="A177" s="145">
        <v>322</v>
      </c>
      <c r="B177" s="146" t="s">
        <v>3360</v>
      </c>
      <c r="C177" s="345">
        <v>166</v>
      </c>
      <c r="D177" s="147">
        <f>SUM(D178:D184)</f>
        <v>66906</v>
      </c>
      <c r="E177" s="147">
        <f>SUM(E178:E184)</f>
        <v>58832</v>
      </c>
      <c r="F177" s="150">
        <f t="shared" si="2"/>
        <v>87.932322960571554</v>
      </c>
    </row>
    <row r="178" spans="1:6" s="8" customFormat="1" x14ac:dyDescent="0.2">
      <c r="A178" s="145">
        <v>3221</v>
      </c>
      <c r="B178" s="146" t="s">
        <v>3000</v>
      </c>
      <c r="C178" s="345">
        <v>167</v>
      </c>
      <c r="D178" s="149">
        <v>23634</v>
      </c>
      <c r="E178" s="149">
        <v>18800</v>
      </c>
      <c r="F178" s="148">
        <f t="shared" si="2"/>
        <v>79.546416180079547</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23289</v>
      </c>
      <c r="E180" s="149">
        <v>18330</v>
      </c>
      <c r="F180" s="148">
        <f t="shared" si="2"/>
        <v>78.706685559706301</v>
      </c>
    </row>
    <row r="181" spans="1:6" s="8" customFormat="1" x14ac:dyDescent="0.2">
      <c r="A181" s="145">
        <v>3224</v>
      </c>
      <c r="B181" s="146" t="s">
        <v>2236</v>
      </c>
      <c r="C181" s="345">
        <v>170</v>
      </c>
      <c r="D181" s="149"/>
      <c r="E181" s="149"/>
      <c r="F181" s="148" t="str">
        <f t="shared" si="2"/>
        <v>-</v>
      </c>
    </row>
    <row r="182" spans="1:6" s="8" customFormat="1" x14ac:dyDescent="0.2">
      <c r="A182" s="145">
        <v>3225</v>
      </c>
      <c r="B182" s="146" t="s">
        <v>504</v>
      </c>
      <c r="C182" s="345">
        <v>171</v>
      </c>
      <c r="D182" s="149">
        <v>19983</v>
      </c>
      <c r="E182" s="149">
        <v>21702</v>
      </c>
      <c r="F182" s="148">
        <f t="shared" si="2"/>
        <v>108.60231196517039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364356</v>
      </c>
      <c r="E185" s="147">
        <f>SUM(E186:E194)</f>
        <v>373403</v>
      </c>
      <c r="F185" s="150">
        <f t="shared" si="2"/>
        <v>102.48301112099156</v>
      </c>
    </row>
    <row r="186" spans="1:6" s="8" customFormat="1" x14ac:dyDescent="0.2">
      <c r="A186" s="145">
        <v>3231</v>
      </c>
      <c r="B186" s="146" t="s">
        <v>855</v>
      </c>
      <c r="C186" s="345">
        <v>175</v>
      </c>
      <c r="D186" s="149">
        <v>22561</v>
      </c>
      <c r="E186" s="149">
        <v>18625</v>
      </c>
      <c r="F186" s="148">
        <f t="shared" si="2"/>
        <v>82.553964806524533</v>
      </c>
    </row>
    <row r="187" spans="1:6" s="8" customFormat="1" x14ac:dyDescent="0.2">
      <c r="A187" s="145">
        <v>3232</v>
      </c>
      <c r="B187" s="146" t="s">
        <v>3870</v>
      </c>
      <c r="C187" s="345">
        <v>176</v>
      </c>
      <c r="D187" s="149"/>
      <c r="E187" s="149"/>
      <c r="F187" s="148" t="str">
        <f t="shared" si="2"/>
        <v>-</v>
      </c>
    </row>
    <row r="188" spans="1:6" s="8" customFormat="1" x14ac:dyDescent="0.2">
      <c r="A188" s="145">
        <v>3233</v>
      </c>
      <c r="B188" s="146" t="s">
        <v>3871</v>
      </c>
      <c r="C188" s="345">
        <v>177</v>
      </c>
      <c r="D188" s="149">
        <v>23500</v>
      </c>
      <c r="E188" s="149">
        <v>9500</v>
      </c>
      <c r="F188" s="148">
        <f t="shared" si="2"/>
        <v>40.425531914893611</v>
      </c>
    </row>
    <row r="189" spans="1:6" s="8" customFormat="1" x14ac:dyDescent="0.2">
      <c r="A189" s="145">
        <v>3234</v>
      </c>
      <c r="B189" s="146" t="s">
        <v>3872</v>
      </c>
      <c r="C189" s="345">
        <v>178</v>
      </c>
      <c r="D189" s="149">
        <v>24591</v>
      </c>
      <c r="E189" s="149">
        <v>24645</v>
      </c>
      <c r="F189" s="148">
        <f t="shared" si="2"/>
        <v>100.21959253385384</v>
      </c>
    </row>
    <row r="190" spans="1:6" s="8" customFormat="1" x14ac:dyDescent="0.2">
      <c r="A190" s="145">
        <v>3235</v>
      </c>
      <c r="B190" s="146" t="s">
        <v>3873</v>
      </c>
      <c r="C190" s="345">
        <v>179</v>
      </c>
      <c r="D190" s="149">
        <v>9982</v>
      </c>
      <c r="E190" s="149">
        <v>12799</v>
      </c>
      <c r="F190" s="148">
        <f t="shared" si="2"/>
        <v>128.22079743538367</v>
      </c>
    </row>
    <row r="191" spans="1:6" s="8" customFormat="1" x14ac:dyDescent="0.2">
      <c r="A191" s="145">
        <v>3236</v>
      </c>
      <c r="B191" s="146" t="s">
        <v>3874</v>
      </c>
      <c r="C191" s="345">
        <v>180</v>
      </c>
      <c r="D191" s="149"/>
      <c r="E191" s="149"/>
      <c r="F191" s="148" t="str">
        <f t="shared" si="2"/>
        <v>-</v>
      </c>
    </row>
    <row r="192" spans="1:6" s="8" customFormat="1" x14ac:dyDescent="0.2">
      <c r="A192" s="145">
        <v>3237</v>
      </c>
      <c r="B192" s="146" t="s">
        <v>3875</v>
      </c>
      <c r="C192" s="345">
        <v>181</v>
      </c>
      <c r="D192" s="149">
        <v>170077</v>
      </c>
      <c r="E192" s="149">
        <v>187556</v>
      </c>
      <c r="F192" s="148">
        <f t="shared" si="2"/>
        <v>110.27710977968803</v>
      </c>
    </row>
    <row r="193" spans="1:6" s="8" customFormat="1" x14ac:dyDescent="0.2">
      <c r="A193" s="145">
        <v>3238</v>
      </c>
      <c r="B193" s="146" t="s">
        <v>702</v>
      </c>
      <c r="C193" s="345">
        <v>182</v>
      </c>
      <c r="D193" s="149">
        <v>2755</v>
      </c>
      <c r="E193" s="149">
        <v>2000</v>
      </c>
      <c r="F193" s="148">
        <f t="shared" si="2"/>
        <v>72.595281306715066</v>
      </c>
    </row>
    <row r="194" spans="1:6" s="8" customFormat="1" x14ac:dyDescent="0.2">
      <c r="A194" s="145">
        <v>3239</v>
      </c>
      <c r="B194" s="146" t="s">
        <v>703</v>
      </c>
      <c r="C194" s="345">
        <v>183</v>
      </c>
      <c r="D194" s="149">
        <v>110890</v>
      </c>
      <c r="E194" s="149">
        <v>118278</v>
      </c>
      <c r="F194" s="148">
        <f t="shared" si="2"/>
        <v>106.66245829200108</v>
      </c>
    </row>
    <row r="195" spans="1:6" s="8" customFormat="1" x14ac:dyDescent="0.2">
      <c r="A195" s="145">
        <v>324</v>
      </c>
      <c r="B195" s="146" t="s">
        <v>3584</v>
      </c>
      <c r="C195" s="345">
        <v>184</v>
      </c>
      <c r="D195" s="149">
        <v>6834</v>
      </c>
      <c r="E195" s="149"/>
      <c r="F195" s="148">
        <f t="shared" si="2"/>
        <v>0</v>
      </c>
    </row>
    <row r="196" spans="1:6" s="8" customFormat="1" x14ac:dyDescent="0.2">
      <c r="A196" s="145">
        <v>329</v>
      </c>
      <c r="B196" s="146" t="s">
        <v>434</v>
      </c>
      <c r="C196" s="345">
        <v>185</v>
      </c>
      <c r="D196" s="147">
        <f>SUM(D197:D203)</f>
        <v>21122</v>
      </c>
      <c r="E196" s="147">
        <f>SUM(E197:E203)</f>
        <v>13684</v>
      </c>
      <c r="F196" s="150">
        <f t="shared" si="2"/>
        <v>64.785531673137015</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13802</v>
      </c>
      <c r="E198" s="149">
        <v>8121</v>
      </c>
      <c r="F198" s="148">
        <f t="shared" si="2"/>
        <v>58.839298652369223</v>
      </c>
    </row>
    <row r="199" spans="1:6" s="8" customFormat="1" x14ac:dyDescent="0.2">
      <c r="A199" s="145">
        <v>3293</v>
      </c>
      <c r="B199" s="146" t="s">
        <v>1967</v>
      </c>
      <c r="C199" s="345">
        <v>188</v>
      </c>
      <c r="D199" s="149">
        <v>4585</v>
      </c>
      <c r="E199" s="149">
        <v>3563</v>
      </c>
      <c r="F199" s="148">
        <f t="shared" si="2"/>
        <v>77.709923664122144</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1214</v>
      </c>
      <c r="E201" s="149">
        <v>1000</v>
      </c>
      <c r="F201" s="148">
        <f t="shared" si="2"/>
        <v>82.372322899505761</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1521</v>
      </c>
      <c r="E203" s="149">
        <v>1000</v>
      </c>
      <c r="F203" s="148">
        <f t="shared" si="2"/>
        <v>65.746219592373436</v>
      </c>
    </row>
    <row r="204" spans="1:6" s="8" customFormat="1" x14ac:dyDescent="0.2">
      <c r="A204" s="145">
        <v>34</v>
      </c>
      <c r="B204" s="151" t="s">
        <v>435</v>
      </c>
      <c r="C204" s="345">
        <v>193</v>
      </c>
      <c r="D204" s="147">
        <f>D205+D210+D218</f>
        <v>1822</v>
      </c>
      <c r="E204" s="147">
        <f>E205+E210+E218</f>
        <v>2049</v>
      </c>
      <c r="F204" s="150">
        <f t="shared" si="2"/>
        <v>112.45883644346873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1822</v>
      </c>
      <c r="E218" s="147">
        <f>SUM(E219:E222)</f>
        <v>2049</v>
      </c>
      <c r="F218" s="150">
        <f t="shared" si="3"/>
        <v>112.45883644346873</v>
      </c>
    </row>
    <row r="219" spans="1:6" s="8" customFormat="1" x14ac:dyDescent="0.2">
      <c r="A219" s="145">
        <v>3431</v>
      </c>
      <c r="B219" s="151" t="s">
        <v>3587</v>
      </c>
      <c r="C219" s="345">
        <v>208</v>
      </c>
      <c r="D219" s="149">
        <v>1822</v>
      </c>
      <c r="E219" s="149">
        <v>2049</v>
      </c>
      <c r="F219" s="148">
        <f t="shared" si="3"/>
        <v>112.45883644346873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850772</v>
      </c>
      <c r="E292" s="147">
        <f>E159-E290+E291</f>
        <v>979008</v>
      </c>
      <c r="F292" s="150">
        <f t="shared" si="4"/>
        <v>115.0728984968946</v>
      </c>
    </row>
    <row r="293" spans="1:6" s="8" customFormat="1" x14ac:dyDescent="0.2">
      <c r="A293" s="145" t="s">
        <v>1215</v>
      </c>
      <c r="B293" s="146" t="s">
        <v>3441</v>
      </c>
      <c r="C293" s="345">
        <v>282</v>
      </c>
      <c r="D293" s="147">
        <f>IF(D12&gt;=D292,D12-D292,0)</f>
        <v>195032</v>
      </c>
      <c r="E293" s="147">
        <f>IF(E12&gt;=E292,E12-E292,0)</f>
        <v>83808</v>
      </c>
      <c r="F293" s="150">
        <f t="shared" si="4"/>
        <v>42.97140981992699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61704</v>
      </c>
      <c r="E295" s="149">
        <v>9486</v>
      </c>
      <c r="F295" s="148">
        <f t="shared" si="4"/>
        <v>15.373395565927655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179335</v>
      </c>
      <c r="E353" s="147">
        <f>E354+E366+E399+E403+E405</f>
        <v>77960</v>
      </c>
      <c r="F353" s="150">
        <f t="shared" si="5"/>
        <v>43.471714946887111</v>
      </c>
    </row>
    <row r="354" spans="1:6" s="8" customFormat="1" x14ac:dyDescent="0.2">
      <c r="A354" s="145">
        <v>41</v>
      </c>
      <c r="B354" s="146" t="s">
        <v>3020</v>
      </c>
      <c r="C354" s="345">
        <v>342</v>
      </c>
      <c r="D354" s="147">
        <f>D355+D359</f>
        <v>159152</v>
      </c>
      <c r="E354" s="147">
        <f>E355+E359</f>
        <v>60929</v>
      </c>
      <c r="F354" s="150">
        <f t="shared" si="5"/>
        <v>38.283527696793001</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159152</v>
      </c>
      <c r="E359" s="147">
        <f>SUM(E360:E365)</f>
        <v>60929</v>
      </c>
      <c r="F359" s="150">
        <f t="shared" si="5"/>
        <v>38.283527696793001</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v>159152</v>
      </c>
      <c r="E363" s="149">
        <v>60929</v>
      </c>
      <c r="F363" s="148">
        <f t="shared" si="5"/>
        <v>38.283527696793001</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20183</v>
      </c>
      <c r="E366" s="147">
        <f>E367+E372+E381+E386+E391+E394</f>
        <v>17031</v>
      </c>
      <c r="F366" s="150">
        <f t="shared" si="6"/>
        <v>84.382896497051973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20183</v>
      </c>
      <c r="E372" s="147">
        <f>SUM(E373:E380)</f>
        <v>17031</v>
      </c>
      <c r="F372" s="150">
        <f t="shared" si="6"/>
        <v>84.382896497051973</v>
      </c>
    </row>
    <row r="373" spans="1:6" s="8" customFormat="1" x14ac:dyDescent="0.2">
      <c r="A373" s="145">
        <v>4221</v>
      </c>
      <c r="B373" s="146" t="s">
        <v>3941</v>
      </c>
      <c r="C373" s="345">
        <v>361</v>
      </c>
      <c r="D373" s="149">
        <v>20183</v>
      </c>
      <c r="E373" s="149">
        <v>17031</v>
      </c>
      <c r="F373" s="148">
        <f t="shared" si="6"/>
        <v>84.382896497051973</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179335</v>
      </c>
      <c r="E411" s="147">
        <f>IF(E353&gt;=E301, E353-E301, 0)</f>
        <v>77960</v>
      </c>
      <c r="F411" s="150">
        <f t="shared" si="6"/>
        <v>43.471714946887111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1045804</v>
      </c>
      <c r="E415" s="147">
        <f>E12+E301</f>
        <v>1062816</v>
      </c>
      <c r="F415" s="150">
        <f t="shared" si="6"/>
        <v>101.62669104344599</v>
      </c>
    </row>
    <row r="416" spans="1:6" s="8" customFormat="1" x14ac:dyDescent="0.2">
      <c r="A416" s="145" t="s">
        <v>1215</v>
      </c>
      <c r="B416" s="146" t="s">
        <v>1993</v>
      </c>
      <c r="C416" s="345">
        <v>404</v>
      </c>
      <c r="D416" s="147">
        <f>D292+D353</f>
        <v>1030107</v>
      </c>
      <c r="E416" s="147">
        <f>E292+E353</f>
        <v>1056968</v>
      </c>
      <c r="F416" s="150">
        <f t="shared" si="6"/>
        <v>102.60759319177521</v>
      </c>
    </row>
    <row r="417" spans="1:6" s="8" customFormat="1" x14ac:dyDescent="0.2">
      <c r="A417" s="145" t="s">
        <v>1215</v>
      </c>
      <c r="B417" s="146" t="s">
        <v>1994</v>
      </c>
      <c r="C417" s="345">
        <v>405</v>
      </c>
      <c r="D417" s="147">
        <f>IF(D415&gt;=D416,D415-D416,0)</f>
        <v>15697</v>
      </c>
      <c r="E417" s="147">
        <f>IF(E415&gt;=E416,E415-E416,0)</f>
        <v>5848</v>
      </c>
      <c r="F417" s="150">
        <f t="shared" si="6"/>
        <v>37.255526533732557</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61704</v>
      </c>
      <c r="E419" s="147">
        <f>IF(E295-E296+E412-E413&gt;=0,E295-E296+E412-E413,0)</f>
        <v>9486</v>
      </c>
      <c r="F419" s="150">
        <f t="shared" si="6"/>
        <v>15.373395565927655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1045804</v>
      </c>
      <c r="E642" s="147">
        <f>E415+E423</f>
        <v>1062816</v>
      </c>
      <c r="F642" s="148">
        <f t="shared" si="10"/>
        <v>101.62669104344599</v>
      </c>
    </row>
    <row r="643" spans="1:6" s="8" customFormat="1" x14ac:dyDescent="0.2">
      <c r="A643" s="145" t="s">
        <v>1215</v>
      </c>
      <c r="B643" s="146" t="s">
        <v>1246</v>
      </c>
      <c r="C643" s="345">
        <v>630</v>
      </c>
      <c r="D643" s="147">
        <f>D416+D531</f>
        <v>1030107</v>
      </c>
      <c r="E643" s="147">
        <f>E416+E531</f>
        <v>1056968</v>
      </c>
      <c r="F643" s="148">
        <f t="shared" si="10"/>
        <v>102.60759319177521</v>
      </c>
    </row>
    <row r="644" spans="1:6" s="8" customFormat="1" x14ac:dyDescent="0.2">
      <c r="A644" s="145" t="s">
        <v>1215</v>
      </c>
      <c r="B644" s="146" t="s">
        <v>1247</v>
      </c>
      <c r="C644" s="345">
        <v>631</v>
      </c>
      <c r="D644" s="147">
        <f>IF(D642&gt;=D643,D642-D643,0)</f>
        <v>15697</v>
      </c>
      <c r="E644" s="147">
        <f>IF(E642&gt;=E643,E642-E643,0)</f>
        <v>5848</v>
      </c>
      <c r="F644" s="148">
        <f t="shared" si="10"/>
        <v>37.255526533732557</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61704</v>
      </c>
      <c r="E646" s="147">
        <f>IF(E419-E420+E640-E641&gt;=0,E419-E420+E640-E641,0)</f>
        <v>9486</v>
      </c>
      <c r="F646" s="148">
        <f t="shared" si="10"/>
        <v>15.373395565927655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77401</v>
      </c>
      <c r="E648" s="147">
        <f>IF(E644+E646-E645-E647&gt;=0,E644+E646-E645-E647,0)</f>
        <v>15334</v>
      </c>
      <c r="F648" s="148">
        <f t="shared" si="10"/>
        <v>19.811113551504501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87029</v>
      </c>
      <c r="E652" s="149">
        <v>197682</v>
      </c>
      <c r="F652" s="148">
        <f t="shared" ref="F652:F677" si="11">IF(D652&lt;&gt;0,IF(E652/D652&gt;=100,"&gt;&gt;100",E652/D652*100),"-")</f>
        <v>227.14497466361786</v>
      </c>
    </row>
    <row r="653" spans="1:6" s="8" customFormat="1" x14ac:dyDescent="0.2">
      <c r="A653" s="145" t="s">
        <v>1208</v>
      </c>
      <c r="B653" s="146" t="s">
        <v>2750</v>
      </c>
      <c r="C653" s="345">
        <v>639</v>
      </c>
      <c r="D653" s="149">
        <v>1129669</v>
      </c>
      <c r="E653" s="149">
        <v>1106133</v>
      </c>
      <c r="F653" s="148">
        <f t="shared" si="11"/>
        <v>97.916557858983481</v>
      </c>
    </row>
    <row r="654" spans="1:6" s="8" customFormat="1" x14ac:dyDescent="0.2">
      <c r="A654" s="145" t="s">
        <v>1209</v>
      </c>
      <c r="B654" s="146" t="s">
        <v>3586</v>
      </c>
      <c r="C654" s="345">
        <v>640</v>
      </c>
      <c r="D654" s="149">
        <v>1019016</v>
      </c>
      <c r="E654" s="149">
        <v>1137019</v>
      </c>
      <c r="F654" s="148">
        <f t="shared" si="11"/>
        <v>111.58009295241685</v>
      </c>
    </row>
    <row r="655" spans="1:6" s="8" customFormat="1" x14ac:dyDescent="0.2">
      <c r="A655" s="145">
        <v>11</v>
      </c>
      <c r="B655" s="146" t="s">
        <v>181</v>
      </c>
      <c r="C655" s="345">
        <v>641</v>
      </c>
      <c r="D655" s="147">
        <f>+D652+D653-D654</f>
        <v>197682</v>
      </c>
      <c r="E655" s="147">
        <f>+E652+E653-E654</f>
        <v>166796</v>
      </c>
      <c r="F655" s="150">
        <f t="shared" si="11"/>
        <v>84.375916876599788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v>
      </c>
      <c r="E657" s="149">
        <v>3</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v>
      </c>
      <c r="E659" s="149">
        <v>3</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57999</v>
      </c>
      <c r="E678" s="149">
        <v>33000</v>
      </c>
      <c r="F678" s="148"/>
    </row>
    <row r="679" spans="1:6" s="8" customFormat="1" x14ac:dyDescent="0.2">
      <c r="A679" s="152">
        <v>63613</v>
      </c>
      <c r="B679" s="163" t="s">
        <v>4078</v>
      </c>
      <c r="C679" s="345">
        <v>665</v>
      </c>
      <c r="D679" s="149">
        <v>100500</v>
      </c>
      <c r="E679" s="149">
        <v>102000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16056</v>
      </c>
      <c r="E703" s="149">
        <v>15675</v>
      </c>
      <c r="F703" s="148">
        <f>IF(D703&lt;&gt;0,IF(E703/D703&gt;=100,"&gt;&gt;100",E703/D703*100),"-")</f>
        <v>97.627055306427508</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c r="E705" s="149"/>
      <c r="F705" s="148" t="str">
        <f>IF(D705&lt;&gt;0,IF(E705/D705&gt;=100,"&gt;&gt;100",E705/D705*100),"-")</f>
        <v>-</v>
      </c>
    </row>
    <row r="706" spans="1:6" s="8" customFormat="1" x14ac:dyDescent="0.2">
      <c r="A706" s="145" t="s">
        <v>3798</v>
      </c>
      <c r="B706" s="146" t="s">
        <v>3799</v>
      </c>
      <c r="C706" s="345">
        <v>692</v>
      </c>
      <c r="D706" s="149">
        <v>31590</v>
      </c>
      <c r="E706" s="149">
        <v>50884</v>
      </c>
      <c r="F706" s="148">
        <f>IF(D706&lt;&gt;0,IF(E706/D706&gt;=100,"&gt;&gt;100",E706/D706*100),"-")</f>
        <v>161.07628996517886</v>
      </c>
    </row>
    <row r="707" spans="1:6" s="8" customFormat="1" x14ac:dyDescent="0.2">
      <c r="A707" s="145" t="s">
        <v>3800</v>
      </c>
      <c r="B707" s="146" t="s">
        <v>3801</v>
      </c>
      <c r="C707" s="345">
        <v>693</v>
      </c>
      <c r="D707" s="149">
        <v>320</v>
      </c>
      <c r="E707" s="149"/>
      <c r="F707" s="148">
        <f>IF(D707&lt;&gt;0,IF(E707/D707&gt;=100,"&gt;&gt;100",E707/D707*100),"-")</f>
        <v>0</v>
      </c>
    </row>
    <row r="708" spans="1:6" s="8" customFormat="1" x14ac:dyDescent="0.2">
      <c r="A708" s="145" t="s">
        <v>136</v>
      </c>
      <c r="B708" s="146" t="s">
        <v>1134</v>
      </c>
      <c r="C708" s="345">
        <v>694</v>
      </c>
      <c r="D708" s="149">
        <v>73891</v>
      </c>
      <c r="E708" s="149">
        <v>73171</v>
      </c>
      <c r="F708" s="148">
        <f>IF(D708&lt;&gt;0,IF(E708/D708&gt;=100,"&gt;&gt;100",E708/D708*100),"-")</f>
        <v>99.02559175001015</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Brkić</v>
      </c>
      <c r="D995" s="293"/>
      <c r="E995" s="293"/>
    </row>
    <row r="996" spans="1:5" ht="15" customHeight="1" x14ac:dyDescent="0.2">
      <c r="A996" s="291" t="str">
        <f>IF(RefStr!H27="","Telefon za kontakt: _________________","Telefon za kontakt: " &amp; RefStr!H27)</f>
        <v>Telefon za kontakt: 052522610</v>
      </c>
      <c r="C996" s="292"/>
    </row>
    <row r="997" spans="1:5" ht="15" customHeight="1" x14ac:dyDescent="0.2">
      <c r="A997" s="291" t="str">
        <f>IF(RefStr!H33="","Odgovorna osoba: _____________________________","Odgovorna osoba: " &amp; RefStr!H33)</f>
        <v>Odgovorna osoba: Ketrin Milićević Mijošek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zoomScale="98" zoomScaleNormal="98" workbookViewId="0">
      <pane ySplit="1" topLeftCell="A245" activePane="bottomLeft" state="frozen"/>
      <selection pane="bottomLeft" activeCell="E261" sqref="E26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44477</v>
      </c>
      <c r="C4" s="414"/>
      <c r="D4" s="414"/>
      <c r="E4" s="415">
        <f>SUM(Skriveni!G977:G1286)</f>
        <v>11184502.269000001</v>
      </c>
      <c r="F4" s="416"/>
    </row>
    <row r="5" spans="1:6" ht="15" customHeight="1" x14ac:dyDescent="0.2">
      <c r="B5" s="413" t="str">
        <f>"Naziv: "&amp;IF(RefStr!B10&lt;&gt;"",RefStr!B10,"_______________________________________")</f>
        <v>Naziv: MUZEJ SUVREMENE UMJETNOSTI ISTRE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2985424</v>
      </c>
      <c r="E12" s="96">
        <f>E13+E74</f>
        <v>3445333</v>
      </c>
      <c r="F12" s="123">
        <f t="shared" ref="F12:F75" si="0">IF(D12&gt;0,IF(E12/D12&gt;=100,"&gt;&gt;100",E12/D12*100),"-")</f>
        <v>115.40514848142173</v>
      </c>
    </row>
    <row r="13" spans="1:6" s="3" customFormat="1" x14ac:dyDescent="0.2">
      <c r="A13" s="132">
        <v>0</v>
      </c>
      <c r="B13" s="314" t="s">
        <v>521</v>
      </c>
      <c r="C13" s="303">
        <v>2</v>
      </c>
      <c r="D13" s="97">
        <f>D14+D18+D57+D58+D62+D69</f>
        <v>2787286</v>
      </c>
      <c r="E13" s="97">
        <f>E14+E18+E57+E58+E62+E69</f>
        <v>3276537</v>
      </c>
      <c r="F13" s="124">
        <f t="shared" si="0"/>
        <v>117.55295294419015</v>
      </c>
    </row>
    <row r="14" spans="1:6" s="3" customFormat="1" x14ac:dyDescent="0.2">
      <c r="A14" s="132" t="s">
        <v>1564</v>
      </c>
      <c r="B14" s="314" t="s">
        <v>3259</v>
      </c>
      <c r="C14" s="303">
        <v>3</v>
      </c>
      <c r="D14" s="97">
        <f>D15+D16-D17</f>
        <v>303429</v>
      </c>
      <c r="E14" s="97">
        <f>E15+E16-E17</f>
        <v>273819</v>
      </c>
      <c r="F14" s="124">
        <f t="shared" si="0"/>
        <v>90.241539206865525</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794362</v>
      </c>
      <c r="E16" s="94">
        <v>855291</v>
      </c>
      <c r="F16" s="125">
        <f t="shared" si="0"/>
        <v>107.67018059776274</v>
      </c>
    </row>
    <row r="17" spans="1:6" s="3" customFormat="1" x14ac:dyDescent="0.2">
      <c r="A17" s="132" t="s">
        <v>359</v>
      </c>
      <c r="B17" s="314" t="s">
        <v>360</v>
      </c>
      <c r="C17" s="303">
        <v>6</v>
      </c>
      <c r="D17" s="94">
        <v>490933</v>
      </c>
      <c r="E17" s="94">
        <v>581472</v>
      </c>
      <c r="F17" s="125">
        <f t="shared" si="0"/>
        <v>118.44223142465469</v>
      </c>
    </row>
    <row r="18" spans="1:6" s="3" customFormat="1" x14ac:dyDescent="0.2">
      <c r="A18" s="132" t="s">
        <v>361</v>
      </c>
      <c r="B18" s="314" t="s">
        <v>522</v>
      </c>
      <c r="C18" s="303">
        <v>7</v>
      </c>
      <c r="D18" s="97">
        <f>D19+D25+D35+D41+D47+D51</f>
        <v>2483857</v>
      </c>
      <c r="E18" s="97">
        <f>E19+E25+E35+E41+E47+E51</f>
        <v>3002718</v>
      </c>
      <c r="F18" s="124">
        <f t="shared" si="0"/>
        <v>120.88932655945975</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34548</v>
      </c>
      <c r="E25" s="97">
        <f>SUM(E26:E33)-E34</f>
        <v>41069</v>
      </c>
      <c r="F25" s="124">
        <f t="shared" si="0"/>
        <v>118.87518814403148</v>
      </c>
    </row>
    <row r="26" spans="1:6" s="3" customFormat="1" x14ac:dyDescent="0.2">
      <c r="A26" s="132" t="s">
        <v>1157</v>
      </c>
      <c r="B26" s="314" t="s">
        <v>3941</v>
      </c>
      <c r="C26" s="303">
        <v>15</v>
      </c>
      <c r="D26" s="94">
        <v>36436</v>
      </c>
      <c r="E26" s="94">
        <v>53467</v>
      </c>
      <c r="F26" s="125">
        <f t="shared" si="0"/>
        <v>146.74223295641673</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31023</v>
      </c>
      <c r="E32" s="94">
        <v>31023</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32911</v>
      </c>
      <c r="E34" s="94">
        <v>43421</v>
      </c>
      <c r="F34" s="125">
        <f t="shared" si="0"/>
        <v>131.93461152806051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2449309</v>
      </c>
      <c r="E41" s="97">
        <f>SUM(E42:E45)-E46</f>
        <v>2961649</v>
      </c>
      <c r="F41" s="124">
        <f t="shared" si="0"/>
        <v>120.91773639014104</v>
      </c>
    </row>
    <row r="42" spans="1:6" s="3" customFormat="1" x14ac:dyDescent="0.2">
      <c r="A42" s="132" t="s">
        <v>2878</v>
      </c>
      <c r="B42" s="314" t="s">
        <v>2886</v>
      </c>
      <c r="C42" s="303">
        <v>31</v>
      </c>
      <c r="D42" s="94">
        <v>19034</v>
      </c>
      <c r="E42" s="94">
        <v>20124</v>
      </c>
      <c r="F42" s="125">
        <f t="shared" si="0"/>
        <v>105.72659451507829</v>
      </c>
    </row>
    <row r="43" spans="1:6" s="3" customFormat="1" x14ac:dyDescent="0.2">
      <c r="A43" s="132" t="s">
        <v>2879</v>
      </c>
      <c r="B43" s="314" t="s">
        <v>2884</v>
      </c>
      <c r="C43" s="303">
        <v>32</v>
      </c>
      <c r="D43" s="94">
        <v>2430275</v>
      </c>
      <c r="E43" s="94">
        <v>2941525</v>
      </c>
      <c r="F43" s="125">
        <f t="shared" si="0"/>
        <v>121.03671395212476</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58874</v>
      </c>
      <c r="E60" s="94">
        <v>80479</v>
      </c>
      <c r="F60" s="125">
        <f t="shared" si="0"/>
        <v>136.69701396202058</v>
      </c>
    </row>
    <row r="61" spans="1:6" s="3" customFormat="1" x14ac:dyDescent="0.2">
      <c r="A61" s="132" t="s">
        <v>456</v>
      </c>
      <c r="B61" s="314" t="s">
        <v>617</v>
      </c>
      <c r="C61" s="303">
        <v>50</v>
      </c>
      <c r="D61" s="94">
        <v>58874</v>
      </c>
      <c r="E61" s="94">
        <v>80479</v>
      </c>
      <c r="F61" s="125">
        <f t="shared" si="0"/>
        <v>136.69701396202058</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198138</v>
      </c>
      <c r="E74" s="97">
        <f>E75+E84+E92+E123+E139+E151+E168+E169</f>
        <v>168796</v>
      </c>
      <c r="F74" s="124">
        <f t="shared" si="0"/>
        <v>85.19112941485227</v>
      </c>
    </row>
    <row r="75" spans="1:6" s="3" customFormat="1" x14ac:dyDescent="0.2">
      <c r="A75" s="272" t="s">
        <v>2744</v>
      </c>
      <c r="B75" s="314" t="s">
        <v>322</v>
      </c>
      <c r="C75" s="303">
        <v>64</v>
      </c>
      <c r="D75" s="97">
        <f>+D76+D81+D82+D83</f>
        <v>197682</v>
      </c>
      <c r="E75" s="97">
        <f>+E76+E81+E82+E83</f>
        <v>166796</v>
      </c>
      <c r="F75" s="124">
        <f t="shared" si="0"/>
        <v>84.375916876599788</v>
      </c>
    </row>
    <row r="76" spans="1:6" s="3" customFormat="1" x14ac:dyDescent="0.2">
      <c r="A76" s="132" t="s">
        <v>3429</v>
      </c>
      <c r="B76" s="317" t="s">
        <v>1885</v>
      </c>
      <c r="C76" s="303">
        <v>65</v>
      </c>
      <c r="D76" s="97">
        <f>SUM(D77:D80)</f>
        <v>197343</v>
      </c>
      <c r="E76" s="97">
        <f>SUM(E77:E80)</f>
        <v>166457</v>
      </c>
      <c r="F76" s="124">
        <f t="shared" ref="F76:F139" si="1">IF(D76&gt;0,IF(E76/D76&gt;=100,"&gt;&gt;100",E76/D76*100),"-")</f>
        <v>84.349077494514617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197343</v>
      </c>
      <c r="E78" s="94">
        <v>166457</v>
      </c>
      <c r="F78" s="125">
        <f t="shared" si="1"/>
        <v>84.349077494514617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339</v>
      </c>
      <c r="E82" s="94">
        <v>339</v>
      </c>
      <c r="F82" s="125">
        <f t="shared" si="1"/>
        <v>100</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456</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456</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2000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2000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v>2000</v>
      </c>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2985423</v>
      </c>
      <c r="E173" s="97">
        <f>E174+E234</f>
        <v>3445333</v>
      </c>
      <c r="F173" s="124">
        <f t="shared" si="2"/>
        <v>115.4051871376351</v>
      </c>
    </row>
    <row r="174" spans="1:6" s="3" customFormat="1" x14ac:dyDescent="0.2">
      <c r="A174" s="272" t="s">
        <v>3813</v>
      </c>
      <c r="B174" s="314" t="s">
        <v>1145</v>
      </c>
      <c r="C174" s="303">
        <v>163</v>
      </c>
      <c r="D174" s="97">
        <f>D175+D186+D187+D203+D231</f>
        <v>208651</v>
      </c>
      <c r="E174" s="97">
        <f>E175+E186+E187+E203+E231</f>
        <v>153462</v>
      </c>
      <c r="F174" s="124">
        <f t="shared" si="2"/>
        <v>73.549611552305052</v>
      </c>
    </row>
    <row r="175" spans="1:6" s="3" customFormat="1" x14ac:dyDescent="0.2">
      <c r="A175" s="272" t="s">
        <v>1181</v>
      </c>
      <c r="B175" s="314" t="s">
        <v>1547</v>
      </c>
      <c r="C175" s="303">
        <v>164</v>
      </c>
      <c r="D175" s="97">
        <f>SUM(D176:D178)+SUM(D182:D185)</f>
        <v>188651</v>
      </c>
      <c r="E175" s="97">
        <f>SUM(E176:E178)+SUM(E182:E185)</f>
        <v>142793</v>
      </c>
      <c r="F175" s="124">
        <f t="shared" si="2"/>
        <v>75.691621035669044</v>
      </c>
    </row>
    <row r="176" spans="1:6" s="3" customFormat="1" x14ac:dyDescent="0.2">
      <c r="A176" s="272" t="s">
        <v>1182</v>
      </c>
      <c r="B176" s="314" t="s">
        <v>1183</v>
      </c>
      <c r="C176" s="303">
        <v>165</v>
      </c>
      <c r="D176" s="94">
        <v>42497</v>
      </c>
      <c r="E176" s="94">
        <v>42363</v>
      </c>
      <c r="F176" s="125">
        <f t="shared" si="2"/>
        <v>99.68468362472646</v>
      </c>
    </row>
    <row r="177" spans="1:6" s="3" customFormat="1" x14ac:dyDescent="0.2">
      <c r="A177" s="272" t="s">
        <v>1184</v>
      </c>
      <c r="B177" s="314" t="s">
        <v>1185</v>
      </c>
      <c r="C177" s="303">
        <v>166</v>
      </c>
      <c r="D177" s="94">
        <v>145355</v>
      </c>
      <c r="E177" s="94">
        <v>90521</v>
      </c>
      <c r="F177" s="125">
        <f t="shared" si="2"/>
        <v>62.275807505761762</v>
      </c>
    </row>
    <row r="178" spans="1:6" s="3" customFormat="1" x14ac:dyDescent="0.2">
      <c r="A178" s="272" t="s">
        <v>1186</v>
      </c>
      <c r="B178" s="317" t="s">
        <v>2842</v>
      </c>
      <c r="C178" s="303">
        <v>167</v>
      </c>
      <c r="D178" s="97">
        <f>SUM(D179:D181)</f>
        <v>218</v>
      </c>
      <c r="E178" s="97">
        <f>SUM(E179:E181)</f>
        <v>189</v>
      </c>
      <c r="F178" s="124">
        <f t="shared" si="2"/>
        <v>86.697247706422019</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218</v>
      </c>
      <c r="E181" s="94">
        <v>189</v>
      </c>
      <c r="F181" s="125">
        <f t="shared" si="2"/>
        <v>86.697247706422019</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581</v>
      </c>
      <c r="E185" s="94">
        <v>9720</v>
      </c>
      <c r="F185" s="125">
        <f t="shared" si="2"/>
        <v>1672.9776247848538</v>
      </c>
    </row>
    <row r="186" spans="1:6" s="3" customFormat="1" x14ac:dyDescent="0.2">
      <c r="A186" s="272" t="s">
        <v>3033</v>
      </c>
      <c r="B186" s="314" t="s">
        <v>3034</v>
      </c>
      <c r="C186" s="303">
        <v>175</v>
      </c>
      <c r="D186" s="94">
        <v>20000</v>
      </c>
      <c r="E186" s="94">
        <v>10669</v>
      </c>
      <c r="F186" s="125">
        <f t="shared" si="2"/>
        <v>53.344999999999999</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2776772</v>
      </c>
      <c r="E234" s="97">
        <f>+E235+E243-E247+E251+E252+E253</f>
        <v>3291871</v>
      </c>
      <c r="F234" s="124">
        <f t="shared" si="3"/>
        <v>118.55028068563065</v>
      </c>
    </row>
    <row r="235" spans="1:6" s="3" customFormat="1" x14ac:dyDescent="0.2">
      <c r="A235" s="132" t="s">
        <v>1279</v>
      </c>
      <c r="B235" s="314" t="s">
        <v>3395</v>
      </c>
      <c r="C235" s="303">
        <v>224</v>
      </c>
      <c r="D235" s="97">
        <f>D236-D239</f>
        <v>2699371</v>
      </c>
      <c r="E235" s="97">
        <f>E236-E239</f>
        <v>3276537</v>
      </c>
      <c r="F235" s="124">
        <f t="shared" si="3"/>
        <v>121.38149961602164</v>
      </c>
    </row>
    <row r="236" spans="1:6" s="3" customFormat="1" x14ac:dyDescent="0.2">
      <c r="A236" s="132" t="s">
        <v>1280</v>
      </c>
      <c r="B236" s="314" t="s">
        <v>3396</v>
      </c>
      <c r="C236" s="303">
        <v>225</v>
      </c>
      <c r="D236" s="97">
        <f>SUM(D237:D238)</f>
        <v>2699371</v>
      </c>
      <c r="E236" s="97">
        <f>SUM(E237:E238)</f>
        <v>3276537</v>
      </c>
      <c r="F236" s="124">
        <f t="shared" si="3"/>
        <v>121.38149961602164</v>
      </c>
    </row>
    <row r="237" spans="1:6" s="3" customFormat="1" x14ac:dyDescent="0.2">
      <c r="A237" s="132" t="s">
        <v>1281</v>
      </c>
      <c r="B237" s="314" t="s">
        <v>1282</v>
      </c>
      <c r="C237" s="303">
        <v>226</v>
      </c>
      <c r="D237" s="94">
        <v>2036460</v>
      </c>
      <c r="E237" s="94">
        <v>2077582</v>
      </c>
      <c r="F237" s="125">
        <f t="shared" si="3"/>
        <v>102.01928837296093</v>
      </c>
    </row>
    <row r="238" spans="1:6" s="3" customFormat="1" x14ac:dyDescent="0.2">
      <c r="A238" s="132" t="s">
        <v>1283</v>
      </c>
      <c r="B238" s="314" t="s">
        <v>1284</v>
      </c>
      <c r="C238" s="303">
        <v>227</v>
      </c>
      <c r="D238" s="94">
        <v>662911</v>
      </c>
      <c r="E238" s="94">
        <v>1198955</v>
      </c>
      <c r="F238" s="125">
        <f t="shared" si="3"/>
        <v>180.86213684793282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77401</v>
      </c>
      <c r="E243" s="97">
        <f>SUM(E244:E246)</f>
        <v>15334</v>
      </c>
      <c r="F243" s="124">
        <f t="shared" si="3"/>
        <v>19.811113551504501</v>
      </c>
    </row>
    <row r="244" spans="1:6" s="3" customFormat="1" x14ac:dyDescent="0.2">
      <c r="A244" s="132" t="s">
        <v>2861</v>
      </c>
      <c r="B244" s="314" t="s">
        <v>4121</v>
      </c>
      <c r="C244" s="303">
        <v>233</v>
      </c>
      <c r="D244" s="94">
        <v>77401</v>
      </c>
      <c r="E244" s="94">
        <v>15334</v>
      </c>
      <c r="F244" s="125">
        <f t="shared" si="3"/>
        <v>19.811113551504501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v>2000</v>
      </c>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188651</v>
      </c>
      <c r="E287" s="94">
        <v>142793</v>
      </c>
      <c r="F287" s="125">
        <f t="shared" si="4"/>
        <v>75.691621035669044</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v>20000</v>
      </c>
      <c r="E289" s="94">
        <v>10669</v>
      </c>
      <c r="F289" s="125">
        <f t="shared" si="4"/>
        <v>53.344999999999999</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581</v>
      </c>
      <c r="E302" s="94">
        <v>9720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Brkić</v>
      </c>
      <c r="B325" s="291"/>
      <c r="D325" s="293"/>
      <c r="E325" s="293"/>
      <c r="F325" s="291"/>
      <c r="G325" s="307"/>
    </row>
    <row r="326" spans="1:7" s="292" customFormat="1" ht="15" customHeight="1" x14ac:dyDescent="0.2">
      <c r="A326" s="291" t="str">
        <f>IF(RefStr!H27="","Telefon za kontakt: _________________","Telefon za kontakt: " &amp; RefStr!H27)</f>
        <v>Telefon za kontakt: 052522610</v>
      </c>
      <c r="B326" s="291"/>
      <c r="F326" s="291"/>
      <c r="G326" s="307"/>
    </row>
    <row r="327" spans="1:7" s="292" customFormat="1" ht="15" customHeight="1" x14ac:dyDescent="0.2">
      <c r="A327" s="291" t="str">
        <f>IF(RefStr!H33="","Odgovorna osoba: _____________________________","Odgovorna osoba: " &amp; RefStr!H33)</f>
        <v>Odgovorna osoba: Ketrin Milićević Mijošek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BC0C-889A-4023-BDB7-51490752D292}">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067-729F-49A1-A824-9B74DC6C381F}">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DE413-49FA-4CF5-9979-786EA48050B5}">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86" activePane="bottomLeft" state="frozen"/>
      <selection pane="bottomLeft" activeCell="E117" sqref="E11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44477</v>
      </c>
      <c r="C4" s="414"/>
      <c r="D4" s="414"/>
      <c r="E4" s="415">
        <f>SUM(Skriveni!G1287:G1423)</f>
        <v>1084694.835</v>
      </c>
      <c r="F4" s="416"/>
    </row>
    <row r="5" spans="1:6" ht="15" customHeight="1" x14ac:dyDescent="0.2">
      <c r="B5" s="413" t="str">
        <f>"Naziv: "&amp;IF(RefStr!B10&lt;&gt;"",RefStr!B10,"_______________________________________")</f>
        <v>Naziv: MUZEJ SUVREMENE UMJETNOSTI ISTRE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9102 Djelatnosti muzeja</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1030107</v>
      </c>
      <c r="E114" s="97">
        <f>SUM(E115:E120)</f>
        <v>1056968</v>
      </c>
      <c r="F114" s="125">
        <f t="shared" si="1"/>
        <v>102.60759319177521</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v>1030107</v>
      </c>
      <c r="E116" s="94">
        <v>1056968</v>
      </c>
      <c r="F116" s="125">
        <f t="shared" si="1"/>
        <v>102.60759319177521</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1030107</v>
      </c>
      <c r="E148" s="107">
        <f>E12+E29+E35+E42+E82+E89+E96+E114+E121+E136</f>
        <v>1056968</v>
      </c>
      <c r="F148" s="126">
        <f t="shared" si="2"/>
        <v>102.60759319177521</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Brkić</v>
      </c>
      <c r="B151" s="291"/>
      <c r="D151" s="293"/>
      <c r="E151" s="293"/>
      <c r="F151" s="291"/>
      <c r="G151" s="307"/>
    </row>
    <row r="152" spans="1:7" s="292" customFormat="1" ht="15" customHeight="1" x14ac:dyDescent="0.2">
      <c r="A152" s="291" t="str">
        <f>IF(RefStr!H27="","Telefon za kontakt: _________________","Telefon za kontakt: " &amp; RefStr!H27)</f>
        <v>Telefon za kontakt: 052522610</v>
      </c>
      <c r="B152" s="291"/>
      <c r="E152" s="291"/>
      <c r="F152" s="291"/>
      <c r="G152" s="307"/>
    </row>
    <row r="153" spans="1:7" s="292" customFormat="1" ht="15" customHeight="1" x14ac:dyDescent="0.2">
      <c r="A153" s="291" t="str">
        <f>IF(RefStr!H33="","Odgovorna osoba: _____________________________","Odgovorna osoba: " &amp; RefStr!H33)</f>
        <v>Odgovorna osoba: Ketrin Milićević Mijošek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15</vt:i4>
      </vt:variant>
    </vt:vector>
  </HeadingPairs>
  <TitlesOfParts>
    <vt:vector size="29" baseType="lpstr">
      <vt:lpstr>Skriveni</vt:lpstr>
      <vt:lpstr>Upute</vt:lpstr>
      <vt:lpstr>RefStr</vt:lpstr>
      <vt:lpstr>PRRAS</vt:lpstr>
      <vt:lpstr>Bil</vt:lpstr>
      <vt:lpstr>List1</vt:lpstr>
      <vt:lpstr>List2</vt:lpstr>
      <vt:lpstr>List3</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Svjetlana</cp:lastModifiedBy>
  <cp:lastPrinted>2019-01-31T12:22:01Z</cp:lastPrinted>
  <dcterms:created xsi:type="dcterms:W3CDTF">2001-11-21T09:32:18Z</dcterms:created>
  <dcterms:modified xsi:type="dcterms:W3CDTF">2019-01-31T12:24:12Z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